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nguyenthinga\Desktop\"/>
    </mc:Choice>
  </mc:AlternateContent>
  <bookViews>
    <workbookView xWindow="480" yWindow="315" windowWidth="14115" windowHeight="7200" tabRatio="827" activeTab="7"/>
  </bookViews>
  <sheets>
    <sheet name="PL 01-2018" sheetId="1" r:id="rId1"/>
    <sheet name="02-2018" sheetId="10" r:id="rId2"/>
    <sheet name="PL 01-2017" sheetId="11" r:id="rId3"/>
    <sheet name="02-2017" sheetId="12" r:id="rId4"/>
    <sheet name="PL 01-2016" sheetId="13" r:id="rId5"/>
    <sheet name="PL 01-2015" sheetId="14" r:id="rId6"/>
    <sheet name="PL 01-2013" sheetId="15" r:id="rId7"/>
    <sheet name="PL 01-2009" sheetId="16" r:id="rId8"/>
  </sheets>
  <externalReferences>
    <externalReference r:id="rId9"/>
    <externalReference r:id="rId10"/>
    <externalReference r:id="rId11"/>
    <externalReference r:id="rId12"/>
    <externalReference r:id="rId13"/>
    <externalReference r:id="rId14"/>
  </externalReferences>
  <definedNames>
    <definedName name="_xlnm._FilterDatabase" localSheetId="2" hidden="1">'PL 01-2017'!$B$3:$B$163</definedName>
    <definedName name="_xlnm.Print_Area" localSheetId="1">'02-2018'!$A$1:$F$30</definedName>
    <definedName name="_xlnm.Print_Area" localSheetId="0">'PL 01-2018'!$A$1:$H$219</definedName>
    <definedName name="_xlnm.Print_Titles" localSheetId="3">'02-2017'!$5:$5</definedName>
    <definedName name="_xlnm.Print_Titles" localSheetId="1">'02-2018'!$5:$5</definedName>
    <definedName name="_xlnm.Print_Titles" localSheetId="7">'PL 01-2009'!$5:$5</definedName>
    <definedName name="_xlnm.Print_Titles" localSheetId="6">'PL 01-2013'!$7:$7</definedName>
    <definedName name="_xlnm.Print_Titles" localSheetId="5">'PL 01-2015'!$6:$6</definedName>
    <definedName name="_xlnm.Print_Titles" localSheetId="4">'PL 01-2016'!$5:$5</definedName>
    <definedName name="_xlnm.Print_Titles" localSheetId="2">'PL 01-2017'!$5:$5</definedName>
    <definedName name="_xlnm.Print_Titles" localSheetId="0">'PL 01-2018'!$5:$5</definedName>
  </definedNames>
  <calcPr calcId="152511"/>
</workbook>
</file>

<file path=xl/calcChain.xml><?xml version="1.0" encoding="utf-8"?>
<calcChain xmlns="http://schemas.openxmlformats.org/spreadsheetml/2006/main">
  <c r="F6" i="1" l="1"/>
  <c r="G218" i="1"/>
  <c r="G217" i="1"/>
  <c r="G215" i="1"/>
  <c r="G211" i="1"/>
  <c r="G208" i="1"/>
  <c r="G204" i="1"/>
  <c r="G198" i="1"/>
  <c r="G197" i="1"/>
  <c r="G193" i="1"/>
  <c r="G190" i="1"/>
  <c r="G189" i="1"/>
  <c r="G186" i="1"/>
  <c r="G185" i="1"/>
  <c r="G184" i="1"/>
  <c r="B183" i="1"/>
  <c r="G179" i="1"/>
  <c r="G177" i="1"/>
  <c r="G176" i="1"/>
  <c r="G175" i="1"/>
  <c r="G174" i="1"/>
  <c r="G173" i="1"/>
  <c r="G169" i="1"/>
  <c r="G162" i="1"/>
  <c r="G158" i="1"/>
  <c r="G157" i="1"/>
  <c r="G153" i="1"/>
  <c r="G151" i="1"/>
  <c r="G150" i="1"/>
  <c r="G147" i="1"/>
  <c r="G146" i="1"/>
  <c r="G144" i="1"/>
  <c r="G143" i="1"/>
  <c r="G142" i="1"/>
  <c r="G141" i="1"/>
  <c r="G139" i="1"/>
  <c r="G133" i="1"/>
  <c r="G129" i="1"/>
  <c r="G128" i="1"/>
  <c r="G127" i="1"/>
  <c r="G122" i="1"/>
  <c r="G121" i="1"/>
  <c r="G118" i="1"/>
  <c r="G117" i="1"/>
  <c r="G116" i="1"/>
  <c r="G113" i="1"/>
  <c r="G112" i="1"/>
  <c r="G110" i="1"/>
  <c r="G109" i="1"/>
  <c r="G106" i="1"/>
  <c r="G103" i="1"/>
  <c r="G101" i="1"/>
  <c r="G99" i="1"/>
  <c r="G98" i="1"/>
  <c r="G84" i="1"/>
  <c r="G72" i="1"/>
  <c r="G71" i="1"/>
  <c r="G70" i="1"/>
  <c r="G67" i="1"/>
  <c r="G66" i="1"/>
  <c r="G63" i="1"/>
  <c r="G62" i="1"/>
  <c r="G61" i="1"/>
  <c r="G60" i="1"/>
  <c r="G59" i="1"/>
  <c r="G57" i="1"/>
  <c r="G56" i="1"/>
  <c r="G55" i="1"/>
  <c r="G49" i="1"/>
  <c r="G44" i="1"/>
  <c r="G43" i="1"/>
  <c r="G42" i="1"/>
  <c r="G41" i="1"/>
  <c r="G38" i="1"/>
  <c r="G29" i="1"/>
  <c r="G26" i="1"/>
  <c r="G22" i="1"/>
  <c r="G21" i="1"/>
  <c r="G20" i="1"/>
  <c r="G19" i="1"/>
  <c r="G18" i="1"/>
  <c r="G12" i="1"/>
  <c r="G11" i="1"/>
  <c r="G10" i="1"/>
  <c r="G9" i="1"/>
  <c r="G7" i="1" l="1"/>
  <c r="G48" i="1"/>
  <c r="G28" i="1"/>
  <c r="G77" i="1"/>
  <c r="G27" i="1"/>
  <c r="G31" i="1"/>
  <c r="G69" i="1"/>
  <c r="G91" i="1"/>
  <c r="G94" i="1"/>
  <c r="G102" i="1"/>
  <c r="G105" i="1"/>
  <c r="G104" i="1"/>
  <c r="G115" i="1"/>
  <c r="G114" i="1"/>
  <c r="G145" i="1"/>
  <c r="G178" i="1"/>
  <c r="G187" i="1"/>
  <c r="G210" i="1"/>
  <c r="G209" i="1"/>
  <c r="G54" i="1"/>
  <c r="G64" i="1"/>
  <c r="G78" i="1"/>
  <c r="G148" i="1"/>
  <c r="G213" i="1"/>
  <c r="G33" i="1"/>
  <c r="G132" i="1"/>
  <c r="G130" i="1"/>
  <c r="G203" i="1"/>
  <c r="G108" i="1"/>
  <c r="G107" i="1"/>
  <c r="G168" i="1"/>
  <c r="G79" i="1"/>
  <c r="G89" i="1"/>
  <c r="G30" i="1"/>
  <c r="G32" i="1"/>
  <c r="G68" i="1"/>
  <c r="G120" i="1"/>
  <c r="G119" i="1"/>
  <c r="G152" i="1"/>
  <c r="G191" i="1"/>
  <c r="G53" i="1"/>
  <c r="G82" i="1"/>
  <c r="G159" i="1"/>
  <c r="G172" i="1"/>
  <c r="G170" i="1"/>
  <c r="G90" i="1"/>
  <c r="G100" i="1"/>
  <c r="G212" i="1"/>
  <c r="G216" i="1"/>
  <c r="G39" i="1"/>
  <c r="E103" i="16"/>
  <c r="G101" i="16"/>
  <c r="E101" i="16"/>
  <c r="F101" i="16" s="1"/>
  <c r="E100" i="16"/>
  <c r="G100" i="16" s="1"/>
  <c r="D99" i="16"/>
  <c r="G98" i="16"/>
  <c r="F98" i="16"/>
  <c r="E98" i="16"/>
  <c r="F97" i="16"/>
  <c r="E97" i="16"/>
  <c r="G97" i="16" s="1"/>
  <c r="D96" i="16"/>
  <c r="D95" i="16" s="1"/>
  <c r="D94" i="16" s="1"/>
  <c r="G93" i="16"/>
  <c r="F93" i="16"/>
  <c r="E93" i="16"/>
  <c r="F92" i="16"/>
  <c r="E92" i="16"/>
  <c r="G92" i="16" s="1"/>
  <c r="G91" i="16"/>
  <c r="F91" i="16"/>
  <c r="E91" i="16"/>
  <c r="G90" i="16"/>
  <c r="F90" i="16"/>
  <c r="E90" i="16"/>
  <c r="F89" i="16"/>
  <c r="E89" i="16"/>
  <c r="G89" i="16" s="1"/>
  <c r="G88" i="16"/>
  <c r="F88" i="16"/>
  <c r="E88" i="16"/>
  <c r="G87" i="16"/>
  <c r="F87" i="16"/>
  <c r="F86" i="16"/>
  <c r="E86" i="16"/>
  <c r="G86" i="16" s="1"/>
  <c r="D86" i="16"/>
  <c r="E85" i="16"/>
  <c r="G85" i="16" s="1"/>
  <c r="G84" i="16"/>
  <c r="F84" i="16"/>
  <c r="E84" i="16"/>
  <c r="G83" i="16"/>
  <c r="F83" i="16"/>
  <c r="E83" i="16"/>
  <c r="E82" i="16"/>
  <c r="G82" i="16" s="1"/>
  <c r="D82" i="16"/>
  <c r="D81" i="16"/>
  <c r="G80" i="16"/>
  <c r="F80" i="16"/>
  <c r="E80" i="16"/>
  <c r="G79" i="16"/>
  <c r="F79" i="16"/>
  <c r="E79" i="16"/>
  <c r="D79" i="16"/>
  <c r="F78" i="16"/>
  <c r="F76" i="16" s="1"/>
  <c r="E78" i="16"/>
  <c r="E76" i="16" s="1"/>
  <c r="G77" i="16"/>
  <c r="F77" i="16"/>
  <c r="E77" i="16"/>
  <c r="D76" i="16"/>
  <c r="D75" i="16"/>
  <c r="F74" i="16"/>
  <c r="E74" i="16"/>
  <c r="G74" i="16" s="1"/>
  <c r="G73" i="16"/>
  <c r="F73" i="16"/>
  <c r="E73" i="16"/>
  <c r="G72" i="16"/>
  <c r="F72" i="16"/>
  <c r="E72" i="16"/>
  <c r="F71" i="16"/>
  <c r="F69" i="16" s="1"/>
  <c r="E71" i="16"/>
  <c r="E69" i="16" s="1"/>
  <c r="G69" i="16" s="1"/>
  <c r="G70" i="16"/>
  <c r="F70" i="16"/>
  <c r="D69" i="16"/>
  <c r="F68" i="16"/>
  <c r="E68" i="16"/>
  <c r="G68" i="16" s="1"/>
  <c r="G67" i="16"/>
  <c r="F67" i="16"/>
  <c r="G66" i="16"/>
  <c r="F66" i="16"/>
  <c r="G65" i="16"/>
  <c r="F65" i="16"/>
  <c r="G64" i="16"/>
  <c r="F64" i="16"/>
  <c r="G63" i="16"/>
  <c r="F63" i="16"/>
  <c r="E63" i="16"/>
  <c r="G62" i="16"/>
  <c r="F62" i="16"/>
  <c r="E62" i="16"/>
  <c r="F61" i="16"/>
  <c r="E61" i="16"/>
  <c r="G61" i="16" s="1"/>
  <c r="D61" i="16"/>
  <c r="E60" i="16"/>
  <c r="E54" i="16" s="1"/>
  <c r="D60" i="16"/>
  <c r="D54" i="16" s="1"/>
  <c r="D53" i="16" s="1"/>
  <c r="D34" i="16" s="1"/>
  <c r="D33" i="16" s="1"/>
  <c r="G59" i="16"/>
  <c r="F59" i="16"/>
  <c r="E59" i="16"/>
  <c r="G58" i="16"/>
  <c r="E58" i="16"/>
  <c r="F58" i="16" s="1"/>
  <c r="F57" i="16"/>
  <c r="E57" i="16"/>
  <c r="G57" i="16" s="1"/>
  <c r="G56" i="16"/>
  <c r="F56" i="16"/>
  <c r="E56" i="16"/>
  <c r="G55" i="16"/>
  <c r="E55" i="16"/>
  <c r="F55" i="16" s="1"/>
  <c r="G52" i="16"/>
  <c r="F52" i="16"/>
  <c r="E52" i="16"/>
  <c r="G51" i="16"/>
  <c r="E51" i="16"/>
  <c r="F51" i="16" s="1"/>
  <c r="E50" i="16"/>
  <c r="G50" i="16" s="1"/>
  <c r="D50" i="16"/>
  <c r="E49" i="16"/>
  <c r="G49" i="16" s="1"/>
  <c r="G48" i="16"/>
  <c r="F48" i="16"/>
  <c r="E48" i="16"/>
  <c r="G47" i="16"/>
  <c r="F47" i="16"/>
  <c r="E47" i="16"/>
  <c r="E46" i="16"/>
  <c r="G46" i="16" s="1"/>
  <c r="G45" i="16"/>
  <c r="F45" i="16"/>
  <c r="E45" i="16"/>
  <c r="G44" i="16"/>
  <c r="F44" i="16"/>
  <c r="E44" i="16"/>
  <c r="D43" i="16"/>
  <c r="D42" i="16"/>
  <c r="G41" i="16"/>
  <c r="F41" i="16"/>
  <c r="E41" i="16"/>
  <c r="G40" i="16"/>
  <c r="F40" i="16"/>
  <c r="E40" i="16"/>
  <c r="E39" i="16"/>
  <c r="G39" i="16" s="1"/>
  <c r="D39" i="16"/>
  <c r="G38" i="16"/>
  <c r="F38" i="16"/>
  <c r="E38" i="16"/>
  <c r="G37" i="16"/>
  <c r="E37" i="16"/>
  <c r="F37" i="16" s="1"/>
  <c r="E36" i="16"/>
  <c r="G36" i="16" s="1"/>
  <c r="D36" i="16"/>
  <c r="E35" i="16"/>
  <c r="G35" i="16" s="1"/>
  <c r="D35" i="16"/>
  <c r="G32" i="16"/>
  <c r="E32" i="16"/>
  <c r="F32" i="16" s="1"/>
  <c r="F31" i="16"/>
  <c r="E31" i="16"/>
  <c r="G31" i="16" s="1"/>
  <c r="G30" i="16"/>
  <c r="F30" i="16"/>
  <c r="E30" i="16"/>
  <c r="G29" i="16"/>
  <c r="F29" i="16"/>
  <c r="E28" i="16"/>
  <c r="G28" i="16" s="1"/>
  <c r="D27" i="16"/>
  <c r="G26" i="16"/>
  <c r="E26" i="16"/>
  <c r="F26" i="16" s="1"/>
  <c r="F25" i="16"/>
  <c r="E25" i="16"/>
  <c r="G25" i="16" s="1"/>
  <c r="G24" i="16"/>
  <c r="F24" i="16"/>
  <c r="E24" i="16"/>
  <c r="G23" i="16"/>
  <c r="E23" i="16"/>
  <c r="F23" i="16" s="1"/>
  <c r="F22" i="16"/>
  <c r="E22" i="16"/>
  <c r="G22" i="16" s="1"/>
  <c r="G21" i="16"/>
  <c r="F21" i="16"/>
  <c r="E21" i="16"/>
  <c r="G20" i="16"/>
  <c r="E20" i="16"/>
  <c r="F20" i="16" s="1"/>
  <c r="E19" i="16"/>
  <c r="G19" i="16" s="1"/>
  <c r="D19" i="16"/>
  <c r="D18" i="16"/>
  <c r="G17" i="16"/>
  <c r="F17" i="16"/>
  <c r="E17" i="16"/>
  <c r="G16" i="16"/>
  <c r="E16" i="16"/>
  <c r="F16" i="16" s="1"/>
  <c r="F15" i="16"/>
  <c r="E15" i="16"/>
  <c r="G15" i="16" s="1"/>
  <c r="D14" i="16"/>
  <c r="G13" i="16"/>
  <c r="F13" i="16"/>
  <c r="E13" i="16"/>
  <c r="G12" i="16"/>
  <c r="F12" i="16"/>
  <c r="E12" i="16"/>
  <c r="E11" i="16"/>
  <c r="E9" i="16" s="1"/>
  <c r="G10" i="16"/>
  <c r="F10" i="16"/>
  <c r="E10" i="16"/>
  <c r="D9" i="16"/>
  <c r="D8" i="16" s="1"/>
  <c r="D7" i="16" s="1"/>
  <c r="G110" i="15"/>
  <c r="F110" i="15"/>
  <c r="F109" i="15" s="1"/>
  <c r="G109" i="15"/>
  <c r="E109" i="15"/>
  <c r="D109" i="15"/>
  <c r="G108" i="15"/>
  <c r="E108" i="15"/>
  <c r="F108" i="15" s="1"/>
  <c r="F107" i="15" s="1"/>
  <c r="D107" i="15"/>
  <c r="G106" i="15"/>
  <c r="F106" i="15"/>
  <c r="E106" i="15"/>
  <c r="G105" i="15"/>
  <c r="F105" i="15"/>
  <c r="E105" i="15"/>
  <c r="D105" i="15"/>
  <c r="G104" i="15"/>
  <c r="F104" i="15"/>
  <c r="F103" i="15" s="1"/>
  <c r="E104" i="15"/>
  <c r="E103" i="15"/>
  <c r="D103" i="15"/>
  <c r="D96" i="15" s="1"/>
  <c r="D95" i="15" s="1"/>
  <c r="E102" i="15"/>
  <c r="E101" i="15"/>
  <c r="E97" i="15" s="1"/>
  <c r="E100" i="15"/>
  <c r="G100" i="15" s="1"/>
  <c r="G99" i="15"/>
  <c r="E99" i="15"/>
  <c r="F99" i="15" s="1"/>
  <c r="G98" i="15"/>
  <c r="F98" i="15"/>
  <c r="E98" i="15"/>
  <c r="D97" i="15"/>
  <c r="G94" i="15"/>
  <c r="F94" i="15"/>
  <c r="F93" i="15" s="1"/>
  <c r="E93" i="15"/>
  <c r="D93" i="15"/>
  <c r="E92" i="15"/>
  <c r="E91" i="15"/>
  <c r="G91" i="15" s="1"/>
  <c r="D90" i="15"/>
  <c r="D88" i="15" s="1"/>
  <c r="G89" i="15"/>
  <c r="F89" i="15"/>
  <c r="G87" i="15"/>
  <c r="F87" i="15"/>
  <c r="E87" i="15"/>
  <c r="G86" i="15"/>
  <c r="F86" i="15"/>
  <c r="G85" i="15"/>
  <c r="F85" i="15"/>
  <c r="G84" i="15"/>
  <c r="F84" i="15"/>
  <c r="F83" i="15"/>
  <c r="E83" i="15"/>
  <c r="D83" i="15"/>
  <c r="G82" i="15"/>
  <c r="F82" i="15"/>
  <c r="E81" i="15"/>
  <c r="G81" i="15" s="1"/>
  <c r="G80" i="15"/>
  <c r="E80" i="15"/>
  <c r="E79" i="15"/>
  <c r="E78" i="15"/>
  <c r="E77" i="15"/>
  <c r="G77" i="15" s="1"/>
  <c r="G76" i="15"/>
  <c r="F76" i="15"/>
  <c r="E75" i="15"/>
  <c r="D74" i="15"/>
  <c r="D73" i="15"/>
  <c r="G70" i="15"/>
  <c r="F70" i="15"/>
  <c r="G69" i="15"/>
  <c r="E69" i="15"/>
  <c r="F69" i="15" s="1"/>
  <c r="D68" i="15"/>
  <c r="D67" i="15"/>
  <c r="G66" i="15"/>
  <c r="F66" i="15"/>
  <c r="E66" i="15"/>
  <c r="G65" i="15"/>
  <c r="F65" i="15"/>
  <c r="F64" i="15" s="1"/>
  <c r="E65" i="15"/>
  <c r="E64" i="15"/>
  <c r="D64" i="15"/>
  <c r="D63" i="15" s="1"/>
  <c r="G62" i="15"/>
  <c r="F62" i="15"/>
  <c r="E62" i="15"/>
  <c r="G61" i="15"/>
  <c r="F61" i="15"/>
  <c r="E61" i="15"/>
  <c r="E60" i="15"/>
  <c r="D60" i="15"/>
  <c r="E59" i="15"/>
  <c r="E58" i="15"/>
  <c r="D57" i="15"/>
  <c r="D56" i="15"/>
  <c r="D53" i="15" s="1"/>
  <c r="D52" i="15" s="1"/>
  <c r="G55" i="15"/>
  <c r="F55" i="15"/>
  <c r="G54" i="15"/>
  <c r="F54" i="15"/>
  <c r="E54" i="15"/>
  <c r="D54" i="15"/>
  <c r="G51" i="15"/>
  <c r="F51" i="15"/>
  <c r="E51" i="15"/>
  <c r="G50" i="15"/>
  <c r="F50" i="15"/>
  <c r="E50" i="15"/>
  <c r="G49" i="15"/>
  <c r="F49" i="15"/>
  <c r="E48" i="15"/>
  <c r="G48" i="15" s="1"/>
  <c r="G47" i="15"/>
  <c r="F47" i="15"/>
  <c r="E47" i="15"/>
  <c r="G46" i="15"/>
  <c r="F46" i="15"/>
  <c r="E46" i="15"/>
  <c r="G45" i="15"/>
  <c r="F45" i="15"/>
  <c r="E45" i="15"/>
  <c r="D45" i="15"/>
  <c r="G44" i="15"/>
  <c r="F44" i="15"/>
  <c r="E44" i="15"/>
  <c r="E43" i="15"/>
  <c r="D42" i="15"/>
  <c r="D39" i="15" s="1"/>
  <c r="D34" i="15" s="1"/>
  <c r="E41" i="15"/>
  <c r="G40" i="15"/>
  <c r="F40" i="15"/>
  <c r="G38" i="15"/>
  <c r="F38" i="15"/>
  <c r="E38" i="15"/>
  <c r="G37" i="15"/>
  <c r="F37" i="15"/>
  <c r="E37" i="15"/>
  <c r="E36" i="15"/>
  <c r="D35" i="15"/>
  <c r="G33" i="15"/>
  <c r="F33" i="15"/>
  <c r="G32" i="15"/>
  <c r="F32" i="15"/>
  <c r="E32" i="15"/>
  <c r="D32" i="15"/>
  <c r="G31" i="15"/>
  <c r="E31" i="15"/>
  <c r="F31" i="15" s="1"/>
  <c r="G30" i="15"/>
  <c r="F30" i="15"/>
  <c r="E30" i="15"/>
  <c r="D30" i="15"/>
  <c r="G29" i="15"/>
  <c r="F29" i="15"/>
  <c r="E29" i="15"/>
  <c r="D29" i="15"/>
  <c r="G28" i="15"/>
  <c r="F28" i="15"/>
  <c r="E28" i="15"/>
  <c r="G27" i="15"/>
  <c r="F27" i="15"/>
  <c r="F26" i="15" s="1"/>
  <c r="E27" i="15"/>
  <c r="E26" i="15"/>
  <c r="D26" i="15"/>
  <c r="G25" i="15"/>
  <c r="F25" i="15"/>
  <c r="F24" i="15" s="1"/>
  <c r="F23" i="15" s="1"/>
  <c r="F21" i="15" s="1"/>
  <c r="E24" i="15"/>
  <c r="G24" i="15" s="1"/>
  <c r="D24" i="15"/>
  <c r="D23" i="15"/>
  <c r="D21" i="15" s="1"/>
  <c r="D20" i="15" s="1"/>
  <c r="F22" i="15"/>
  <c r="G19" i="15"/>
  <c r="F19" i="15"/>
  <c r="F18" i="15" s="1"/>
  <c r="F17" i="15" s="1"/>
  <c r="E18" i="15"/>
  <c r="D18" i="15"/>
  <c r="D17" i="15" s="1"/>
  <c r="E17" i="15"/>
  <c r="E16" i="15"/>
  <c r="D16" i="15"/>
  <c r="F16" i="15" s="1"/>
  <c r="E15" i="15"/>
  <c r="D15" i="15"/>
  <c r="F15" i="15" s="1"/>
  <c r="E14" i="15"/>
  <c r="D14" i="15"/>
  <c r="F14" i="15" s="1"/>
  <c r="E13" i="15"/>
  <c r="D13" i="15"/>
  <c r="F13" i="15" s="1"/>
  <c r="E12" i="15"/>
  <c r="D12" i="15"/>
  <c r="F12" i="15" s="1"/>
  <c r="E11" i="15"/>
  <c r="D11" i="15"/>
  <c r="F11" i="15" s="1"/>
  <c r="E10" i="15"/>
  <c r="D10" i="15"/>
  <c r="E9" i="15"/>
  <c r="I135" i="14"/>
  <c r="G135" i="14"/>
  <c r="E135" i="14"/>
  <c r="F135" i="14" s="1"/>
  <c r="F134" i="14" s="1"/>
  <c r="I134" i="14"/>
  <c r="E134" i="14"/>
  <c r="G134" i="14" s="1"/>
  <c r="D134" i="14"/>
  <c r="I133" i="14"/>
  <c r="G133" i="14"/>
  <c r="F133" i="14"/>
  <c r="F132" i="14" s="1"/>
  <c r="E132" i="14"/>
  <c r="D132" i="14"/>
  <c r="G131" i="14"/>
  <c r="F131" i="14"/>
  <c r="F130" i="14" s="1"/>
  <c r="I130" i="14" s="1"/>
  <c r="G130" i="14"/>
  <c r="E130" i="14"/>
  <c r="D130" i="14"/>
  <c r="F129" i="14"/>
  <c r="I129" i="14" s="1"/>
  <c r="E129" i="14"/>
  <c r="G129" i="14" s="1"/>
  <c r="G128" i="14"/>
  <c r="F128" i="14"/>
  <c r="F127" i="14" s="1"/>
  <c r="G127" i="14"/>
  <c r="E127" i="14"/>
  <c r="D127" i="14"/>
  <c r="G126" i="14"/>
  <c r="F126" i="14"/>
  <c r="I126" i="14" s="1"/>
  <c r="I125" i="14"/>
  <c r="G125" i="14"/>
  <c r="F125" i="14"/>
  <c r="I124" i="14"/>
  <c r="G124" i="14"/>
  <c r="F124" i="14"/>
  <c r="E124" i="14"/>
  <c r="I123" i="14"/>
  <c r="G123" i="14"/>
  <c r="F123" i="14"/>
  <c r="E123" i="14"/>
  <c r="G122" i="14"/>
  <c r="F122" i="14"/>
  <c r="E122" i="14"/>
  <c r="D122" i="14"/>
  <c r="I120" i="14"/>
  <c r="F120" i="14"/>
  <c r="E120" i="14"/>
  <c r="G120" i="14" s="1"/>
  <c r="F119" i="14"/>
  <c r="E119" i="14"/>
  <c r="D119" i="14"/>
  <c r="E118" i="14"/>
  <c r="I117" i="14"/>
  <c r="D116" i="14"/>
  <c r="D115" i="14" s="1"/>
  <c r="G114" i="14"/>
  <c r="F114" i="14"/>
  <c r="I114" i="14" s="1"/>
  <c r="E114" i="14"/>
  <c r="G113" i="14"/>
  <c r="F113" i="14"/>
  <c r="I113" i="14" s="1"/>
  <c r="E113" i="14"/>
  <c r="G112" i="14"/>
  <c r="F112" i="14"/>
  <c r="I112" i="14" s="1"/>
  <c r="E112" i="14"/>
  <c r="G111" i="14"/>
  <c r="F111" i="14"/>
  <c r="I111" i="14" s="1"/>
  <c r="E111" i="14"/>
  <c r="G110" i="14"/>
  <c r="F110" i="14"/>
  <c r="I110" i="14" s="1"/>
  <c r="E110" i="14"/>
  <c r="G109" i="14"/>
  <c r="F109" i="14"/>
  <c r="I109" i="14" s="1"/>
  <c r="E109" i="14"/>
  <c r="G108" i="14"/>
  <c r="F108" i="14"/>
  <c r="I108" i="14" s="1"/>
  <c r="E108" i="14"/>
  <c r="G107" i="14"/>
  <c r="F107" i="14"/>
  <c r="F91" i="14" s="1"/>
  <c r="F90" i="14" s="1"/>
  <c r="E107" i="14"/>
  <c r="I106" i="14"/>
  <c r="G106" i="14"/>
  <c r="I105" i="14"/>
  <c r="G105" i="14"/>
  <c r="I103" i="14"/>
  <c r="G103" i="14"/>
  <c r="I102" i="14"/>
  <c r="G102" i="14"/>
  <c r="F102" i="14"/>
  <c r="E102" i="14"/>
  <c r="D102" i="14"/>
  <c r="G101" i="14"/>
  <c r="F101" i="14"/>
  <c r="I101" i="14" s="1"/>
  <c r="E101" i="14"/>
  <c r="D101" i="14"/>
  <c r="I100" i="14"/>
  <c r="H100" i="14"/>
  <c r="G100" i="14"/>
  <c r="H99" i="14"/>
  <c r="G99" i="14"/>
  <c r="F99" i="14"/>
  <c r="E99" i="14"/>
  <c r="D99" i="14"/>
  <c r="I98" i="14"/>
  <c r="H98" i="14"/>
  <c r="F98" i="14"/>
  <c r="E98" i="14"/>
  <c r="G98" i="14" s="1"/>
  <c r="D98" i="14"/>
  <c r="F97" i="14"/>
  <c r="E97" i="14"/>
  <c r="G97" i="14" s="1"/>
  <c r="D97" i="14"/>
  <c r="I96" i="14"/>
  <c r="G96" i="14"/>
  <c r="I94" i="14"/>
  <c r="G94" i="14"/>
  <c r="D93" i="14"/>
  <c r="G93" i="14" s="1"/>
  <c r="I92" i="14"/>
  <c r="G92" i="14"/>
  <c r="G91" i="14"/>
  <c r="E91" i="14"/>
  <c r="D91" i="14"/>
  <c r="I91" i="14" s="1"/>
  <c r="E90" i="14"/>
  <c r="I88" i="14"/>
  <c r="G88" i="14"/>
  <c r="F88" i="14"/>
  <c r="G87" i="14"/>
  <c r="F87" i="14"/>
  <c r="I87" i="14" s="1"/>
  <c r="I86" i="14"/>
  <c r="G85" i="14"/>
  <c r="F85" i="14"/>
  <c r="E85" i="14"/>
  <c r="D85" i="14"/>
  <c r="G84" i="14"/>
  <c r="E84" i="14"/>
  <c r="E83" i="14" s="1"/>
  <c r="D84" i="14"/>
  <c r="F84" i="14" s="1"/>
  <c r="F83" i="14"/>
  <c r="D83" i="14"/>
  <c r="I83" i="14" s="1"/>
  <c r="G82" i="14"/>
  <c r="F82" i="14"/>
  <c r="I82" i="14" s="1"/>
  <c r="F81" i="14"/>
  <c r="E81" i="14"/>
  <c r="D81" i="14"/>
  <c r="D80" i="14" s="1"/>
  <c r="E80" i="14"/>
  <c r="E79" i="14"/>
  <c r="E78" i="14"/>
  <c r="D78" i="14"/>
  <c r="G77" i="14"/>
  <c r="F77" i="14"/>
  <c r="I77" i="14" s="1"/>
  <c r="E76" i="14"/>
  <c r="E75" i="14"/>
  <c r="F75" i="14" s="1"/>
  <c r="D74" i="14"/>
  <c r="E73" i="14"/>
  <c r="G72" i="14"/>
  <c r="E72" i="14"/>
  <c r="F72" i="14" s="1"/>
  <c r="G71" i="14"/>
  <c r="F71" i="14"/>
  <c r="I71" i="14" s="1"/>
  <c r="G70" i="14"/>
  <c r="E70" i="14"/>
  <c r="G69" i="14"/>
  <c r="F69" i="14"/>
  <c r="I69" i="14" s="1"/>
  <c r="E69" i="14"/>
  <c r="G68" i="14"/>
  <c r="F68" i="14"/>
  <c r="I68" i="14" s="1"/>
  <c r="G67" i="14"/>
  <c r="E67" i="14"/>
  <c r="F66" i="14"/>
  <c r="D66" i="14"/>
  <c r="G65" i="14"/>
  <c r="F65" i="14"/>
  <c r="I65" i="14" s="1"/>
  <c r="F64" i="14"/>
  <c r="I64" i="14" s="1"/>
  <c r="E64" i="14"/>
  <c r="G64" i="14" s="1"/>
  <c r="G63" i="14"/>
  <c r="F63" i="14"/>
  <c r="I63" i="14" s="1"/>
  <c r="I62" i="14"/>
  <c r="E62" i="14"/>
  <c r="F62" i="14" s="1"/>
  <c r="G61" i="14"/>
  <c r="E61" i="14"/>
  <c r="F61" i="14" s="1"/>
  <c r="E60" i="14"/>
  <c r="D60" i="14"/>
  <c r="E59" i="14"/>
  <c r="G59" i="14" s="1"/>
  <c r="D59" i="14"/>
  <c r="G58" i="14"/>
  <c r="F58" i="14"/>
  <c r="I58" i="14" s="1"/>
  <c r="F57" i="14"/>
  <c r="I57" i="14" s="1"/>
  <c r="E57" i="14"/>
  <c r="D57" i="14"/>
  <c r="I55" i="14"/>
  <c r="G55" i="14"/>
  <c r="F55" i="14"/>
  <c r="G54" i="14"/>
  <c r="F54" i="14"/>
  <c r="I54" i="14" s="1"/>
  <c r="F53" i="14"/>
  <c r="E53" i="14"/>
  <c r="D53" i="14"/>
  <c r="I53" i="14" s="1"/>
  <c r="G52" i="14"/>
  <c r="F52" i="14"/>
  <c r="I52" i="14" s="1"/>
  <c r="I51" i="14"/>
  <c r="G51" i="14"/>
  <c r="F51" i="14"/>
  <c r="G50" i="14"/>
  <c r="E50" i="14"/>
  <c r="D50" i="14"/>
  <c r="D47" i="14" s="1"/>
  <c r="I49" i="14"/>
  <c r="G49" i="14"/>
  <c r="F49" i="14"/>
  <c r="F48" i="14" s="1"/>
  <c r="E48" i="14"/>
  <c r="I48" i="14" s="1"/>
  <c r="D48" i="14"/>
  <c r="E47" i="14"/>
  <c r="G45" i="14"/>
  <c r="F45" i="14"/>
  <c r="I45" i="14" s="1"/>
  <c r="G44" i="14"/>
  <c r="F44" i="14"/>
  <c r="I44" i="14" s="1"/>
  <c r="G43" i="14"/>
  <c r="F43" i="14"/>
  <c r="I43" i="14" s="1"/>
  <c r="I42" i="14"/>
  <c r="G42" i="14"/>
  <c r="F42" i="14"/>
  <c r="I41" i="14"/>
  <c r="G41" i="14"/>
  <c r="F41" i="14"/>
  <c r="E40" i="14"/>
  <c r="G40" i="14" s="1"/>
  <c r="G39" i="14"/>
  <c r="F39" i="14"/>
  <c r="I39" i="14" s="1"/>
  <c r="E38" i="14"/>
  <c r="D38" i="14"/>
  <c r="D34" i="14" s="1"/>
  <c r="I37" i="14"/>
  <c r="G37" i="14"/>
  <c r="F37" i="14"/>
  <c r="I36" i="14"/>
  <c r="G36" i="14"/>
  <c r="F36" i="14"/>
  <c r="F35" i="14"/>
  <c r="E35" i="14"/>
  <c r="G35" i="14" s="1"/>
  <c r="D35" i="14"/>
  <c r="I33" i="14"/>
  <c r="G33" i="14"/>
  <c r="F33" i="14"/>
  <c r="F32" i="14"/>
  <c r="E32" i="14"/>
  <c r="G32" i="14" s="1"/>
  <c r="D32" i="14"/>
  <c r="I32" i="14" s="1"/>
  <c r="G31" i="14"/>
  <c r="F31" i="14"/>
  <c r="I31" i="14" s="1"/>
  <c r="I30" i="14"/>
  <c r="G30" i="14"/>
  <c r="F30" i="14"/>
  <c r="G29" i="14"/>
  <c r="F29" i="14"/>
  <c r="E29" i="14"/>
  <c r="G28" i="14"/>
  <c r="F28" i="14"/>
  <c r="I28" i="14" s="1"/>
  <c r="G27" i="14"/>
  <c r="F27" i="14"/>
  <c r="I27" i="14" s="1"/>
  <c r="E26" i="14"/>
  <c r="D26" i="14"/>
  <c r="I25" i="14"/>
  <c r="F25" i="14"/>
  <c r="I24" i="14"/>
  <c r="G24" i="14"/>
  <c r="F24" i="14"/>
  <c r="G23" i="14"/>
  <c r="F23" i="14"/>
  <c r="I23" i="14" s="1"/>
  <c r="E22" i="14"/>
  <c r="D22" i="14"/>
  <c r="E21" i="14"/>
  <c r="D21" i="14"/>
  <c r="D19" i="14" s="1"/>
  <c r="I20" i="14"/>
  <c r="F20" i="14"/>
  <c r="I16" i="14"/>
  <c r="E15" i="14"/>
  <c r="G15" i="14" s="1"/>
  <c r="D15" i="14"/>
  <c r="F15" i="14" s="1"/>
  <c r="E14" i="14"/>
  <c r="D14" i="14"/>
  <c r="E13" i="14"/>
  <c r="D13" i="14"/>
  <c r="G13" i="14" s="1"/>
  <c r="E12" i="14"/>
  <c r="D12" i="14"/>
  <c r="E11" i="14"/>
  <c r="D11" i="14"/>
  <c r="E10" i="14"/>
  <c r="E9" i="14" s="1"/>
  <c r="D10" i="14"/>
  <c r="F10" i="14" s="1"/>
  <c r="G256" i="13"/>
  <c r="F256" i="13"/>
  <c r="G255" i="13"/>
  <c r="F255" i="13"/>
  <c r="G254" i="13"/>
  <c r="F254" i="13"/>
  <c r="E254" i="13"/>
  <c r="D254" i="13"/>
  <c r="G253" i="13"/>
  <c r="F253" i="13"/>
  <c r="F252" i="13" s="1"/>
  <c r="E252" i="13"/>
  <c r="D252" i="13"/>
  <c r="E251" i="13"/>
  <c r="D250" i="13"/>
  <c r="D249" i="13"/>
  <c r="G248" i="13"/>
  <c r="F248" i="13"/>
  <c r="E248" i="13"/>
  <c r="E247" i="13"/>
  <c r="D246" i="13"/>
  <c r="G245" i="13"/>
  <c r="E245" i="13"/>
  <c r="F245" i="13" s="1"/>
  <c r="D244" i="13"/>
  <c r="G243" i="13"/>
  <c r="F243" i="13"/>
  <c r="F242" i="13" s="1"/>
  <c r="E242" i="13"/>
  <c r="D242" i="13"/>
  <c r="E241" i="13"/>
  <c r="D240" i="13"/>
  <c r="F239" i="13"/>
  <c r="E239" i="13"/>
  <c r="E238" i="13"/>
  <c r="F238" i="13" s="1"/>
  <c r="F237" i="13" s="1"/>
  <c r="E237" i="13"/>
  <c r="D237" i="13"/>
  <c r="G235" i="13"/>
  <c r="F235" i="13"/>
  <c r="G234" i="13"/>
  <c r="F234" i="13"/>
  <c r="G233" i="13"/>
  <c r="F233" i="13"/>
  <c r="E233" i="13"/>
  <c r="F232" i="13"/>
  <c r="E232" i="13"/>
  <c r="G232" i="13" s="1"/>
  <c r="D232" i="13"/>
  <c r="E231" i="13"/>
  <c r="G231" i="13" s="1"/>
  <c r="D231" i="13"/>
  <c r="D220" i="13" s="1"/>
  <c r="D209" i="13" s="1"/>
  <c r="D208" i="13" s="1"/>
  <c r="G230" i="13"/>
  <c r="F230" i="13"/>
  <c r="G229" i="13"/>
  <c r="F229" i="13"/>
  <c r="G228" i="13"/>
  <c r="E228" i="13"/>
  <c r="F228" i="13" s="1"/>
  <c r="G227" i="13"/>
  <c r="F227" i="13"/>
  <c r="G226" i="13"/>
  <c r="F226" i="13"/>
  <c r="G225" i="13"/>
  <c r="F225" i="13"/>
  <c r="G224" i="13"/>
  <c r="F224" i="13"/>
  <c r="G223" i="13"/>
  <c r="F223" i="13"/>
  <c r="E222" i="13"/>
  <c r="D222" i="13"/>
  <c r="D221" i="13"/>
  <c r="E219" i="13"/>
  <c r="G218" i="13"/>
  <c r="F218" i="13"/>
  <c r="D217" i="13"/>
  <c r="D216" i="13"/>
  <c r="G215" i="13"/>
  <c r="F215" i="13"/>
  <c r="G214" i="13"/>
  <c r="F214" i="13"/>
  <c r="E214" i="13"/>
  <c r="G213" i="13"/>
  <c r="F213" i="13"/>
  <c r="G212" i="13"/>
  <c r="F212" i="13"/>
  <c r="E212" i="13"/>
  <c r="D212" i="13"/>
  <c r="G211" i="13"/>
  <c r="F211" i="13"/>
  <c r="E211" i="13"/>
  <c r="D211" i="13"/>
  <c r="D210" i="13"/>
  <c r="G207" i="13"/>
  <c r="F207" i="13"/>
  <c r="F206" i="13"/>
  <c r="E206" i="13"/>
  <c r="G206" i="13" s="1"/>
  <c r="D206" i="13"/>
  <c r="G205" i="13"/>
  <c r="F205" i="13"/>
  <c r="G204" i="13"/>
  <c r="F204" i="13"/>
  <c r="G203" i="13"/>
  <c r="F203" i="13"/>
  <c r="E202" i="13"/>
  <c r="D202" i="13"/>
  <c r="G202" i="13" s="1"/>
  <c r="G201" i="13"/>
  <c r="F201" i="13"/>
  <c r="G200" i="13"/>
  <c r="E200" i="13"/>
  <c r="F200" i="13" s="1"/>
  <c r="G199" i="13"/>
  <c r="F199" i="13"/>
  <c r="G198" i="13"/>
  <c r="F198" i="13"/>
  <c r="G197" i="13"/>
  <c r="F197" i="13"/>
  <c r="G196" i="13"/>
  <c r="F196" i="13"/>
  <c r="G195" i="13"/>
  <c r="F195" i="13"/>
  <c r="G194" i="13"/>
  <c r="F194" i="13"/>
  <c r="E193" i="13"/>
  <c r="F193" i="13" s="1"/>
  <c r="G192" i="13"/>
  <c r="F192" i="13"/>
  <c r="G191" i="13"/>
  <c r="F191" i="13"/>
  <c r="G190" i="13"/>
  <c r="F190" i="13"/>
  <c r="F188" i="13" s="1"/>
  <c r="G189" i="13"/>
  <c r="F189" i="13"/>
  <c r="D188" i="13"/>
  <c r="G187" i="13"/>
  <c r="F187" i="13"/>
  <c r="G186" i="13"/>
  <c r="F186" i="13"/>
  <c r="D185" i="13"/>
  <c r="E184" i="13"/>
  <c r="F184" i="13" s="1"/>
  <c r="D183" i="13"/>
  <c r="G182" i="13"/>
  <c r="F182" i="13"/>
  <c r="E182" i="13"/>
  <c r="G181" i="13"/>
  <c r="F181" i="13"/>
  <c r="E181" i="13"/>
  <c r="G180" i="13"/>
  <c r="F180" i="13"/>
  <c r="E180" i="13"/>
  <c r="E178" i="13"/>
  <c r="G177" i="13"/>
  <c r="E177" i="13"/>
  <c r="F177" i="13" s="1"/>
  <c r="G176" i="13"/>
  <c r="F176" i="13"/>
  <c r="E176" i="13"/>
  <c r="G175" i="13"/>
  <c r="F175" i="13"/>
  <c r="E175" i="13"/>
  <c r="G174" i="13"/>
  <c r="F174" i="13"/>
  <c r="E174" i="13"/>
  <c r="D173" i="13"/>
  <c r="G172" i="13"/>
  <c r="F172" i="13"/>
  <c r="E172" i="13"/>
  <c r="D171" i="13"/>
  <c r="F169" i="13"/>
  <c r="E169" i="13"/>
  <c r="D169" i="13"/>
  <c r="F168" i="13"/>
  <c r="E168" i="13"/>
  <c r="D168" i="13"/>
  <c r="F167" i="13"/>
  <c r="E167" i="13"/>
  <c r="D167" i="13"/>
  <c r="D166" i="13"/>
  <c r="E165" i="13"/>
  <c r="G164" i="13"/>
  <c r="F164" i="13"/>
  <c r="E164" i="13"/>
  <c r="E163" i="13"/>
  <c r="G162" i="13"/>
  <c r="E162" i="13"/>
  <c r="F162" i="13" s="1"/>
  <c r="G161" i="13"/>
  <c r="E161" i="13"/>
  <c r="D161" i="13"/>
  <c r="G160" i="13"/>
  <c r="E160" i="13"/>
  <c r="E159" i="13"/>
  <c r="D158" i="13"/>
  <c r="E157" i="13"/>
  <c r="D157" i="13"/>
  <c r="G156" i="13"/>
  <c r="E156" i="13"/>
  <c r="D156" i="13"/>
  <c r="F156" i="13" s="1"/>
  <c r="G155" i="13"/>
  <c r="E155" i="13"/>
  <c r="F155" i="13" s="1"/>
  <c r="D155" i="13"/>
  <c r="F154" i="13"/>
  <c r="E154" i="13"/>
  <c r="D154" i="13"/>
  <c r="G154" i="13" s="1"/>
  <c r="E153" i="13"/>
  <c r="D153" i="13"/>
  <c r="D152" i="13"/>
  <c r="G149" i="13"/>
  <c r="F149" i="13"/>
  <c r="F148" i="13"/>
  <c r="E148" i="13"/>
  <c r="D148" i="13"/>
  <c r="G147" i="13"/>
  <c r="F147" i="13"/>
  <c r="F146" i="13" s="1"/>
  <c r="F145" i="13" s="1"/>
  <c r="E146" i="13"/>
  <c r="D146" i="13"/>
  <c r="D145" i="13"/>
  <c r="G144" i="13"/>
  <c r="F144" i="13"/>
  <c r="G143" i="13"/>
  <c r="F143" i="13"/>
  <c r="E143" i="13"/>
  <c r="E141" i="13" s="1"/>
  <c r="G142" i="13"/>
  <c r="F142" i="13"/>
  <c r="D141" i="13"/>
  <c r="G140" i="13"/>
  <c r="F140" i="13"/>
  <c r="G139" i="13"/>
  <c r="F139" i="13"/>
  <c r="E139" i="13"/>
  <c r="D139" i="13"/>
  <c r="D138" i="13"/>
  <c r="G137" i="13"/>
  <c r="F137" i="13"/>
  <c r="G136" i="13"/>
  <c r="F136" i="13"/>
  <c r="E136" i="13"/>
  <c r="G135" i="13"/>
  <c r="F135" i="13"/>
  <c r="F134" i="13" s="1"/>
  <c r="G134" i="13"/>
  <c r="E134" i="13"/>
  <c r="D134" i="13"/>
  <c r="G133" i="13"/>
  <c r="F133" i="13"/>
  <c r="G132" i="13"/>
  <c r="F132" i="13"/>
  <c r="F131" i="13"/>
  <c r="E131" i="13"/>
  <c r="G131" i="13" s="1"/>
  <c r="D131" i="13"/>
  <c r="G130" i="13"/>
  <c r="F130" i="13"/>
  <c r="G129" i="13"/>
  <c r="F129" i="13"/>
  <c r="F128" i="13" s="1"/>
  <c r="E129" i="13"/>
  <c r="E128" i="13"/>
  <c r="G128" i="13" s="1"/>
  <c r="D128" i="13"/>
  <c r="D127" i="13"/>
  <c r="D126" i="13" s="1"/>
  <c r="G125" i="13"/>
  <c r="F125" i="13"/>
  <c r="G124" i="13"/>
  <c r="F124" i="13"/>
  <c r="G123" i="13"/>
  <c r="F123" i="13"/>
  <c r="G122" i="13"/>
  <c r="F122" i="13"/>
  <c r="G121" i="13"/>
  <c r="F121" i="13"/>
  <c r="G120" i="13"/>
  <c r="F120" i="13"/>
  <c r="G119" i="13"/>
  <c r="E119" i="13"/>
  <c r="D119" i="13"/>
  <c r="G118" i="13"/>
  <c r="F118" i="13"/>
  <c r="G117" i="13"/>
  <c r="F117" i="13"/>
  <c r="G116" i="13"/>
  <c r="F116" i="13"/>
  <c r="G115" i="13"/>
  <c r="F115" i="13"/>
  <c r="G114" i="13"/>
  <c r="F114" i="13"/>
  <c r="G113" i="13"/>
  <c r="E113" i="13"/>
  <c r="D113" i="13"/>
  <c r="G112" i="13"/>
  <c r="F112" i="13"/>
  <c r="G111" i="13"/>
  <c r="F111" i="13"/>
  <c r="G110" i="13"/>
  <c r="F110" i="13"/>
  <c r="G109" i="13"/>
  <c r="F109" i="13"/>
  <c r="F107" i="13" s="1"/>
  <c r="G108" i="13"/>
  <c r="F108" i="13"/>
  <c r="E107" i="13"/>
  <c r="D107" i="13"/>
  <c r="G107" i="13" s="1"/>
  <c r="G106" i="13"/>
  <c r="F106" i="13"/>
  <c r="E104" i="13"/>
  <c r="G103" i="13"/>
  <c r="E103" i="13"/>
  <c r="F103" i="13" s="1"/>
  <c r="G102" i="13"/>
  <c r="E102" i="13"/>
  <c r="F102" i="13" s="1"/>
  <c r="D101" i="13"/>
  <c r="D96" i="13" s="1"/>
  <c r="G100" i="13"/>
  <c r="F100" i="13"/>
  <c r="G99" i="13"/>
  <c r="F99" i="13"/>
  <c r="G98" i="13"/>
  <c r="F98" i="13"/>
  <c r="F97" i="13" s="1"/>
  <c r="E97" i="13"/>
  <c r="G97" i="13" s="1"/>
  <c r="D97" i="13"/>
  <c r="G94" i="13"/>
  <c r="F94" i="13"/>
  <c r="G93" i="13"/>
  <c r="F93" i="13"/>
  <c r="F92" i="13"/>
  <c r="E92" i="13"/>
  <c r="D92" i="13"/>
  <c r="G91" i="13"/>
  <c r="F91" i="13"/>
  <c r="F90" i="13"/>
  <c r="E90" i="13"/>
  <c r="G90" i="13" s="1"/>
  <c r="D90" i="13"/>
  <c r="E89" i="13"/>
  <c r="G89" i="13" s="1"/>
  <c r="G88" i="13"/>
  <c r="E88" i="13"/>
  <c r="G87" i="13"/>
  <c r="E87" i="13"/>
  <c r="D87" i="13"/>
  <c r="F87" i="13" s="1"/>
  <c r="E86" i="13"/>
  <c r="G85" i="13"/>
  <c r="F85" i="13"/>
  <c r="G84" i="13"/>
  <c r="F84" i="13"/>
  <c r="G83" i="13"/>
  <c r="F83" i="13"/>
  <c r="G82" i="13"/>
  <c r="F82" i="13"/>
  <c r="G81" i="13"/>
  <c r="F81" i="13"/>
  <c r="G80" i="13"/>
  <c r="F80" i="13"/>
  <c r="G79" i="13"/>
  <c r="F79" i="13"/>
  <c r="G78" i="13"/>
  <c r="F78" i="13"/>
  <c r="F77" i="13" s="1"/>
  <c r="D78" i="13"/>
  <c r="D77" i="13" s="1"/>
  <c r="G77" i="13"/>
  <c r="E77" i="13"/>
  <c r="G72" i="13"/>
  <c r="F72" i="13"/>
  <c r="G71" i="13"/>
  <c r="F71" i="13"/>
  <c r="E70" i="13"/>
  <c r="D70" i="13"/>
  <c r="D68" i="13" s="1"/>
  <c r="G69" i="13"/>
  <c r="F69" i="13"/>
  <c r="G67" i="13"/>
  <c r="F67" i="13"/>
  <c r="F66" i="13"/>
  <c r="E66" i="13"/>
  <c r="G66" i="13" s="1"/>
  <c r="G65" i="13"/>
  <c r="F65" i="13"/>
  <c r="D65" i="13"/>
  <c r="E64" i="13"/>
  <c r="G64" i="13" s="1"/>
  <c r="D64" i="13"/>
  <c r="F63" i="13"/>
  <c r="E63" i="13"/>
  <c r="G63" i="13" s="1"/>
  <c r="D63" i="13"/>
  <c r="E62" i="13"/>
  <c r="D62" i="13"/>
  <c r="F62" i="13" s="1"/>
  <c r="E61" i="13"/>
  <c r="G60" i="13"/>
  <c r="F60" i="13"/>
  <c r="G59" i="13"/>
  <c r="F59" i="13"/>
  <c r="G57" i="13"/>
  <c r="F57" i="13"/>
  <c r="F56" i="13" s="1"/>
  <c r="G56" i="13"/>
  <c r="E56" i="13"/>
  <c r="D56" i="13"/>
  <c r="G54" i="13"/>
  <c r="F54" i="13"/>
  <c r="G53" i="13"/>
  <c r="F53" i="13"/>
  <c r="G52" i="13"/>
  <c r="F52" i="13"/>
  <c r="F50" i="13" s="1"/>
  <c r="G51" i="13"/>
  <c r="F51" i="13"/>
  <c r="E50" i="13"/>
  <c r="D50" i="13"/>
  <c r="G50" i="13" s="1"/>
  <c r="G49" i="13"/>
  <c r="F49" i="13"/>
  <c r="G48" i="13"/>
  <c r="F48" i="13"/>
  <c r="G47" i="13"/>
  <c r="F47" i="13"/>
  <c r="E47" i="13"/>
  <c r="E46" i="13" s="1"/>
  <c r="D47" i="13"/>
  <c r="G46" i="13"/>
  <c r="D46" i="13"/>
  <c r="E45" i="13"/>
  <c r="G42" i="13"/>
  <c r="F42" i="13"/>
  <c r="F41" i="13" s="1"/>
  <c r="G41" i="13"/>
  <c r="E41" i="13"/>
  <c r="E39" i="13" s="1"/>
  <c r="G39" i="13" s="1"/>
  <c r="D41" i="13"/>
  <c r="G40" i="13"/>
  <c r="F39" i="13"/>
  <c r="F38" i="13" s="1"/>
  <c r="D39" i="13"/>
  <c r="E38" i="13"/>
  <c r="G38" i="13" s="1"/>
  <c r="D38" i="13"/>
  <c r="G37" i="13"/>
  <c r="F37" i="13"/>
  <c r="F36" i="13" s="1"/>
  <c r="G36" i="13"/>
  <c r="E36" i="13"/>
  <c r="D36" i="13"/>
  <c r="F35" i="13"/>
  <c r="E35" i="13"/>
  <c r="D35" i="13"/>
  <c r="F34" i="13"/>
  <c r="E34" i="13"/>
  <c r="G34" i="13" s="1"/>
  <c r="D34" i="13"/>
  <c r="G33" i="13"/>
  <c r="F33" i="13"/>
  <c r="G32" i="13"/>
  <c r="F32" i="13"/>
  <c r="E32" i="13"/>
  <c r="G31" i="13"/>
  <c r="F31" i="13"/>
  <c r="E31" i="13"/>
  <c r="F30" i="13"/>
  <c r="F29" i="13" s="1"/>
  <c r="E30" i="13"/>
  <c r="G29" i="13"/>
  <c r="E29" i="13"/>
  <c r="D29" i="13"/>
  <c r="G28" i="13"/>
  <c r="F28" i="13"/>
  <c r="E27" i="13"/>
  <c r="D26" i="13"/>
  <c r="D24" i="13" s="1"/>
  <c r="E23" i="13"/>
  <c r="G23" i="13" s="1"/>
  <c r="E22" i="13"/>
  <c r="G22" i="13" s="1"/>
  <c r="D22" i="13"/>
  <c r="D21" i="13" s="1"/>
  <c r="F18" i="13"/>
  <c r="E18" i="13"/>
  <c r="G18" i="13" s="1"/>
  <c r="D18" i="13"/>
  <c r="G17" i="13"/>
  <c r="E17" i="13"/>
  <c r="D17" i="13"/>
  <c r="F17" i="13" s="1"/>
  <c r="E16" i="13"/>
  <c r="G15" i="13"/>
  <c r="F15" i="13"/>
  <c r="E15" i="13"/>
  <c r="D15" i="13"/>
  <c r="E14" i="13"/>
  <c r="D14" i="13"/>
  <c r="E13" i="13"/>
  <c r="D13" i="13"/>
  <c r="F13" i="13" s="1"/>
  <c r="F12" i="13"/>
  <c r="E12" i="13"/>
  <c r="G12" i="13" s="1"/>
  <c r="D12" i="13"/>
  <c r="G11" i="13"/>
  <c r="E11" i="13"/>
  <c r="D11" i="13"/>
  <c r="F11" i="13" s="1"/>
  <c r="E10" i="13"/>
  <c r="G10" i="13" s="1"/>
  <c r="D10" i="13"/>
  <c r="D9" i="13" s="1"/>
  <c r="G17" i="1" l="1"/>
  <c r="G8" i="1"/>
  <c r="G97" i="1"/>
  <c r="G83" i="1"/>
  <c r="G126" i="1"/>
  <c r="G196" i="1"/>
  <c r="G194" i="1"/>
  <c r="G207" i="1"/>
  <c r="G205" i="1"/>
  <c r="G140" i="1"/>
  <c r="G137" i="1"/>
  <c r="G80" i="1"/>
  <c r="G81" i="1"/>
  <c r="G25" i="1"/>
  <c r="G23" i="1"/>
  <c r="D6" i="1"/>
  <c r="G160" i="1"/>
  <c r="G136" i="1"/>
  <c r="G134" i="1"/>
  <c r="G183" i="1"/>
  <c r="G37" i="1"/>
  <c r="G202" i="1"/>
  <c r="G165" i="1"/>
  <c r="G163" i="1"/>
  <c r="G93" i="1"/>
  <c r="G45" i="1"/>
  <c r="G47" i="1"/>
  <c r="G76" i="1"/>
  <c r="D6" i="16"/>
  <c r="D102" i="16" s="1"/>
  <c r="F36" i="16"/>
  <c r="G76" i="16"/>
  <c r="E75" i="16"/>
  <c r="G75" i="16" s="1"/>
  <c r="F19" i="16"/>
  <c r="F75" i="16"/>
  <c r="G54" i="16"/>
  <c r="E53" i="16"/>
  <c r="G53" i="16" s="1"/>
  <c r="E8" i="16"/>
  <c r="G9" i="16"/>
  <c r="F50" i="16"/>
  <c r="F54" i="16"/>
  <c r="E43" i="16"/>
  <c r="F11" i="16"/>
  <c r="E14" i="16"/>
  <c r="G14" i="16" s="1"/>
  <c r="F28" i="16"/>
  <c r="F39" i="16"/>
  <c r="F43" i="16"/>
  <c r="F46" i="16"/>
  <c r="F49" i="16"/>
  <c r="F60" i="16"/>
  <c r="G71" i="16"/>
  <c r="G78" i="16"/>
  <c r="E81" i="16"/>
  <c r="G81" i="16" s="1"/>
  <c r="F85" i="16"/>
  <c r="E96" i="16"/>
  <c r="F100" i="16"/>
  <c r="G11" i="16"/>
  <c r="F14" i="16"/>
  <c r="E27" i="16"/>
  <c r="G60" i="16"/>
  <c r="F96" i="16"/>
  <c r="E99" i="16"/>
  <c r="G99" i="16" s="1"/>
  <c r="D9" i="15"/>
  <c r="D8" i="15" s="1"/>
  <c r="N63" i="15"/>
  <c r="D72" i="15"/>
  <c r="D71" i="15" s="1"/>
  <c r="E96" i="15"/>
  <c r="G97" i="15"/>
  <c r="F10" i="15"/>
  <c r="F9" i="15" s="1"/>
  <c r="E35" i="15"/>
  <c r="F36" i="15"/>
  <c r="F35" i="15" s="1"/>
  <c r="E42" i="15"/>
  <c r="F43" i="15"/>
  <c r="F59" i="15"/>
  <c r="F60" i="15"/>
  <c r="E74" i="15"/>
  <c r="G75" i="15"/>
  <c r="F79" i="15"/>
  <c r="F102" i="15"/>
  <c r="E23" i="15"/>
  <c r="G26" i="15"/>
  <c r="G36" i="15"/>
  <c r="F41" i="15"/>
  <c r="F42" i="15"/>
  <c r="G43" i="15"/>
  <c r="E57" i="15"/>
  <c r="F58" i="15"/>
  <c r="F57" i="15" s="1"/>
  <c r="F56" i="15" s="1"/>
  <c r="F53" i="15" s="1"/>
  <c r="G59" i="15"/>
  <c r="G60" i="15"/>
  <c r="G64" i="15"/>
  <c r="F78" i="15"/>
  <c r="G79" i="15"/>
  <c r="G83" i="15"/>
  <c r="F92" i="15"/>
  <c r="F101" i="15"/>
  <c r="G102" i="15"/>
  <c r="G103" i="15"/>
  <c r="G10" i="15"/>
  <c r="G11" i="15"/>
  <c r="G12" i="15"/>
  <c r="G13" i="15"/>
  <c r="G14" i="15"/>
  <c r="G15" i="15"/>
  <c r="G16" i="15"/>
  <c r="G17" i="15"/>
  <c r="G18" i="15"/>
  <c r="G41" i="15"/>
  <c r="F48" i="15"/>
  <c r="G58" i="15"/>
  <c r="F77" i="15"/>
  <c r="F74" i="15" s="1"/>
  <c r="F73" i="15" s="1"/>
  <c r="G78" i="15"/>
  <c r="E90" i="15"/>
  <c r="F91" i="15"/>
  <c r="G92" i="15"/>
  <c r="G93" i="15"/>
  <c r="F100" i="15"/>
  <c r="F97" i="15" s="1"/>
  <c r="F96" i="15" s="1"/>
  <c r="F95" i="15" s="1"/>
  <c r="G101" i="15"/>
  <c r="E39" i="15"/>
  <c r="E68" i="15"/>
  <c r="E107" i="15"/>
  <c r="E8" i="14"/>
  <c r="I12" i="14"/>
  <c r="I80" i="14"/>
  <c r="G14" i="14"/>
  <c r="F22" i="14"/>
  <c r="I22" i="14" s="1"/>
  <c r="G26" i="14"/>
  <c r="F50" i="14"/>
  <c r="D56" i="14"/>
  <c r="G60" i="14"/>
  <c r="I61" i="14"/>
  <c r="G66" i="14"/>
  <c r="I72" i="14"/>
  <c r="I84" i="14"/>
  <c r="I85" i="14"/>
  <c r="E116" i="14"/>
  <c r="G118" i="14"/>
  <c r="I119" i="14"/>
  <c r="D121" i="14"/>
  <c r="I127" i="14"/>
  <c r="G132" i="14"/>
  <c r="G75" i="14"/>
  <c r="D95" i="14"/>
  <c r="G10" i="14"/>
  <c r="F11" i="14"/>
  <c r="F12" i="14"/>
  <c r="F13" i="14"/>
  <c r="I13" i="14" s="1"/>
  <c r="F14" i="14"/>
  <c r="G21" i="14"/>
  <c r="G22" i="14"/>
  <c r="I29" i="14"/>
  <c r="I35" i="14"/>
  <c r="G38" i="14"/>
  <c r="E56" i="14"/>
  <c r="G57" i="14"/>
  <c r="F70" i="14"/>
  <c r="I70" i="14" s="1"/>
  <c r="E74" i="14"/>
  <c r="I75" i="14"/>
  <c r="G81" i="14"/>
  <c r="I93" i="14"/>
  <c r="I97" i="14"/>
  <c r="I99" i="14"/>
  <c r="H101" i="14"/>
  <c r="H102" i="14"/>
  <c r="I131" i="14"/>
  <c r="I132" i="14"/>
  <c r="I10" i="14"/>
  <c r="G11" i="14"/>
  <c r="G12" i="14"/>
  <c r="I14" i="14"/>
  <c r="I15" i="14"/>
  <c r="E19" i="14"/>
  <c r="E34" i="14"/>
  <c r="G47" i="14"/>
  <c r="F80" i="14"/>
  <c r="E121" i="14"/>
  <c r="F121" i="14"/>
  <c r="F89" i="14" s="1"/>
  <c r="G78" i="14"/>
  <c r="F118" i="14"/>
  <c r="F116" i="14" s="1"/>
  <c r="F115" i="14" s="1"/>
  <c r="I118" i="14"/>
  <c r="D9" i="14"/>
  <c r="F40" i="14"/>
  <c r="I40" i="14" s="1"/>
  <c r="G48" i="14"/>
  <c r="F73" i="14"/>
  <c r="I73" i="14" s="1"/>
  <c r="G76" i="14"/>
  <c r="G79" i="14"/>
  <c r="G80" i="14"/>
  <c r="I81" i="14"/>
  <c r="F26" i="14"/>
  <c r="I26" i="14" s="1"/>
  <c r="G53" i="14"/>
  <c r="F60" i="14"/>
  <c r="G62" i="14"/>
  <c r="I66" i="14"/>
  <c r="F67" i="14"/>
  <c r="I67" i="14" s="1"/>
  <c r="G73" i="14"/>
  <c r="F76" i="14"/>
  <c r="I76" i="14" s="1"/>
  <c r="F79" i="14"/>
  <c r="G83" i="14"/>
  <c r="D90" i="14"/>
  <c r="H97" i="14"/>
  <c r="I107" i="14"/>
  <c r="G119" i="14"/>
  <c r="I122" i="14"/>
  <c r="I128" i="14"/>
  <c r="D8" i="13"/>
  <c r="G16" i="13"/>
  <c r="F173" i="13"/>
  <c r="F16" i="13"/>
  <c r="D20" i="13"/>
  <c r="F138" i="13"/>
  <c r="D95" i="13"/>
  <c r="F105" i="13"/>
  <c r="F183" i="13"/>
  <c r="F127" i="13"/>
  <c r="F185" i="13"/>
  <c r="G61" i="13"/>
  <c r="F61" i="13"/>
  <c r="E26" i="13"/>
  <c r="F27" i="13"/>
  <c r="D58" i="13"/>
  <c r="D55" i="13" s="1"/>
  <c r="F64" i="13"/>
  <c r="E68" i="13"/>
  <c r="G70" i="13"/>
  <c r="F89" i="13"/>
  <c r="E101" i="13"/>
  <c r="E96" i="13" s="1"/>
  <c r="D105" i="13"/>
  <c r="F119" i="13"/>
  <c r="G146" i="13"/>
  <c r="F160" i="13"/>
  <c r="E166" i="13"/>
  <c r="G167" i="13"/>
  <c r="G168" i="13"/>
  <c r="E173" i="13"/>
  <c r="F231" i="13"/>
  <c r="F244" i="13"/>
  <c r="F46" i="13"/>
  <c r="E9" i="13"/>
  <c r="G13" i="13"/>
  <c r="F14" i="13"/>
  <c r="D16" i="13"/>
  <c r="E21" i="13"/>
  <c r="F26" i="13"/>
  <c r="G27" i="13"/>
  <c r="E58" i="13"/>
  <c r="E105" i="13"/>
  <c r="F141" i="13"/>
  <c r="G148" i="13"/>
  <c r="F166" i="13"/>
  <c r="G178" i="13"/>
  <c r="F178" i="13"/>
  <c r="G222" i="13"/>
  <c r="F222" i="13"/>
  <c r="E221" i="13"/>
  <c r="G14" i="13"/>
  <c r="F88" i="13"/>
  <c r="G92" i="13"/>
  <c r="F104" i="13"/>
  <c r="F101" i="13" s="1"/>
  <c r="G104" i="13"/>
  <c r="F113" i="13"/>
  <c r="E127" i="13"/>
  <c r="E145" i="13"/>
  <c r="F153" i="13"/>
  <c r="G184" i="13"/>
  <c r="E183" i="13"/>
  <c r="F10" i="13"/>
  <c r="F23" i="13"/>
  <c r="G62" i="13"/>
  <c r="E76" i="13"/>
  <c r="G163" i="13"/>
  <c r="F165" i="13"/>
  <c r="G165" i="13"/>
  <c r="F241" i="13"/>
  <c r="E240" i="13"/>
  <c r="G241" i="13"/>
  <c r="G252" i="13"/>
  <c r="G30" i="13"/>
  <c r="G35" i="13"/>
  <c r="D45" i="13"/>
  <c r="F58" i="13"/>
  <c r="F70" i="13"/>
  <c r="D86" i="13"/>
  <c r="G153" i="13"/>
  <c r="G157" i="13"/>
  <c r="G159" i="13"/>
  <c r="F159" i="13"/>
  <c r="E158" i="13"/>
  <c r="F161" i="13"/>
  <c r="F163" i="13"/>
  <c r="G169" i="13"/>
  <c r="E171" i="13"/>
  <c r="D170" i="13"/>
  <c r="D151" i="13" s="1"/>
  <c r="D150" i="13" s="1"/>
  <c r="G247" i="13"/>
  <c r="F247" i="13"/>
  <c r="E246" i="13"/>
  <c r="F55" i="13"/>
  <c r="G141" i="13"/>
  <c r="E138" i="13"/>
  <c r="F157" i="13"/>
  <c r="F202" i="13"/>
  <c r="G251" i="13"/>
  <c r="F251" i="13"/>
  <c r="E250" i="13"/>
  <c r="E188" i="13"/>
  <c r="G193" i="13"/>
  <c r="E217" i="13"/>
  <c r="G219" i="13"/>
  <c r="F219" i="13"/>
  <c r="D236" i="13"/>
  <c r="G242" i="13"/>
  <c r="E244" i="13"/>
  <c r="E41" i="12"/>
  <c r="G41" i="12" s="1"/>
  <c r="C40" i="12"/>
  <c r="D39" i="12"/>
  <c r="C39" i="12"/>
  <c r="C38" i="12" s="1"/>
  <c r="C6" i="12" s="1"/>
  <c r="G37" i="12"/>
  <c r="F37" i="12"/>
  <c r="G36" i="12"/>
  <c r="F36" i="12"/>
  <c r="G35" i="12"/>
  <c r="F35" i="12"/>
  <c r="G34" i="12"/>
  <c r="F34" i="12"/>
  <c r="G33" i="12"/>
  <c r="F33" i="12"/>
  <c r="G32" i="12"/>
  <c r="F32" i="12"/>
  <c r="E32" i="12"/>
  <c r="C32" i="12"/>
  <c r="C31" i="12"/>
  <c r="G31" i="12" s="1"/>
  <c r="G30" i="12"/>
  <c r="E30" i="12"/>
  <c r="F30" i="12" s="1"/>
  <c r="G29" i="12"/>
  <c r="F29" i="12"/>
  <c r="G28" i="12"/>
  <c r="F28" i="12"/>
  <c r="C28" i="12"/>
  <c r="E27" i="12"/>
  <c r="G27" i="12" s="1"/>
  <c r="C27" i="12"/>
  <c r="G26" i="12"/>
  <c r="F26" i="12"/>
  <c r="E25" i="12"/>
  <c r="F25" i="12" s="1"/>
  <c r="G24" i="12"/>
  <c r="F24" i="12"/>
  <c r="E24" i="12"/>
  <c r="E23" i="12"/>
  <c r="G23" i="12" s="1"/>
  <c r="C23" i="12"/>
  <c r="G22" i="12"/>
  <c r="F22" i="12"/>
  <c r="F21" i="12"/>
  <c r="E21" i="12"/>
  <c r="G21" i="12" s="1"/>
  <c r="C21" i="12"/>
  <c r="G20" i="12"/>
  <c r="F20" i="12"/>
  <c r="G19" i="12"/>
  <c r="F19" i="12"/>
  <c r="G18" i="12"/>
  <c r="F18" i="12"/>
  <c r="F16" i="12" s="1"/>
  <c r="G17" i="12"/>
  <c r="F17" i="12"/>
  <c r="E16" i="12"/>
  <c r="G16" i="12" s="1"/>
  <c r="C16" i="12"/>
  <c r="G15" i="12"/>
  <c r="F15" i="12"/>
  <c r="E14" i="12"/>
  <c r="F14" i="12" s="1"/>
  <c r="G13" i="12"/>
  <c r="F13" i="12"/>
  <c r="E13" i="12"/>
  <c r="E12" i="12"/>
  <c r="G12" i="12" s="1"/>
  <c r="C12" i="12"/>
  <c r="G9" i="12"/>
  <c r="F9" i="12"/>
  <c r="G8" i="12"/>
  <c r="F8" i="12"/>
  <c r="F7" i="12"/>
  <c r="E7" i="12"/>
  <c r="G7" i="12" s="1"/>
  <c r="C7" i="12"/>
  <c r="H153" i="11"/>
  <c r="F153" i="11"/>
  <c r="G153" i="11" s="1"/>
  <c r="F152" i="11"/>
  <c r="H152" i="11" s="1"/>
  <c r="F151" i="11"/>
  <c r="G151" i="11" s="1"/>
  <c r="F150" i="11"/>
  <c r="H150" i="11" s="1"/>
  <c r="F149" i="11"/>
  <c r="G149" i="11" s="1"/>
  <c r="F148" i="11"/>
  <c r="H148" i="11" s="1"/>
  <c r="F147" i="11"/>
  <c r="G147" i="11" s="1"/>
  <c r="F146" i="11"/>
  <c r="H146" i="11" s="1"/>
  <c r="F145" i="11"/>
  <c r="G145" i="11" s="1"/>
  <c r="F144" i="11"/>
  <c r="H144" i="11" s="1"/>
  <c r="D143" i="11"/>
  <c r="D142" i="11" s="1"/>
  <c r="F141" i="11"/>
  <c r="G141" i="11" s="1"/>
  <c r="G140" i="11"/>
  <c r="G139" i="11"/>
  <c r="G138" i="11" s="1"/>
  <c r="F139" i="11"/>
  <c r="F138" i="11"/>
  <c r="H138" i="11" s="1"/>
  <c r="E138" i="11"/>
  <c r="D138" i="11"/>
  <c r="F137" i="11"/>
  <c r="H137" i="11" s="1"/>
  <c r="G136" i="11"/>
  <c r="G135" i="11"/>
  <c r="G134" i="11" s="1"/>
  <c r="H134" i="11"/>
  <c r="F134" i="11"/>
  <c r="E134" i="11"/>
  <c r="D134" i="11"/>
  <c r="H133" i="11"/>
  <c r="G133" i="11"/>
  <c r="F132" i="11"/>
  <c r="H132" i="11" s="1"/>
  <c r="F131" i="11"/>
  <c r="G131" i="11" s="1"/>
  <c r="G130" i="11"/>
  <c r="F130" i="11"/>
  <c r="F129" i="11"/>
  <c r="G129" i="11" s="1"/>
  <c r="F128" i="11"/>
  <c r="G128" i="11" s="1"/>
  <c r="E127" i="11"/>
  <c r="E126" i="11" s="1"/>
  <c r="D127" i="11"/>
  <c r="D126" i="11" s="1"/>
  <c r="F125" i="11"/>
  <c r="H125" i="11" s="1"/>
  <c r="F124" i="11"/>
  <c r="H124" i="11" s="1"/>
  <c r="F123" i="11"/>
  <c r="G123" i="11" s="1"/>
  <c r="G122" i="11"/>
  <c r="F122" i="11"/>
  <c r="F121" i="11"/>
  <c r="G121" i="11" s="1"/>
  <c r="F120" i="11"/>
  <c r="H120" i="11" s="1"/>
  <c r="E120" i="11"/>
  <c r="D120" i="11"/>
  <c r="F119" i="11"/>
  <c r="G119" i="11" s="1"/>
  <c r="G118" i="11"/>
  <c r="G117" i="11"/>
  <c r="F117" i="11"/>
  <c r="F116" i="11"/>
  <c r="G116" i="11" s="1"/>
  <c r="G115" i="11" s="1"/>
  <c r="F115" i="11"/>
  <c r="H115" i="11" s="1"/>
  <c r="E115" i="11"/>
  <c r="D115" i="11"/>
  <c r="F114" i="11"/>
  <c r="H114" i="11" s="1"/>
  <c r="G113" i="11"/>
  <c r="G111" i="11" s="1"/>
  <c r="F113" i="11"/>
  <c r="G112" i="11"/>
  <c r="F111" i="11"/>
  <c r="H111" i="11" s="1"/>
  <c r="E111" i="11"/>
  <c r="D111" i="11"/>
  <c r="F110" i="11"/>
  <c r="G110" i="11" s="1"/>
  <c r="G109" i="11"/>
  <c r="F108" i="11"/>
  <c r="G108" i="11" s="1"/>
  <c r="F107" i="11"/>
  <c r="G107" i="11" s="1"/>
  <c r="E106" i="11"/>
  <c r="D106" i="11"/>
  <c r="F105" i="11"/>
  <c r="G105" i="11" s="1"/>
  <c r="F104" i="11"/>
  <c r="G104" i="11" s="1"/>
  <c r="G103" i="11" s="1"/>
  <c r="E103" i="11"/>
  <c r="D103" i="11"/>
  <c r="F102" i="11"/>
  <c r="G102" i="11" s="1"/>
  <c r="G101" i="11"/>
  <c r="F100" i="11"/>
  <c r="G100" i="11" s="1"/>
  <c r="F99" i="11"/>
  <c r="F98" i="11" s="1"/>
  <c r="H98" i="11" s="1"/>
  <c r="E98" i="11"/>
  <c r="D98" i="11"/>
  <c r="F97" i="11"/>
  <c r="F95" i="11" s="1"/>
  <c r="H95" i="11" s="1"/>
  <c r="G96" i="11"/>
  <c r="E95" i="11"/>
  <c r="D95" i="11"/>
  <c r="F94" i="11"/>
  <c r="G94" i="11" s="1"/>
  <c r="F93" i="11"/>
  <c r="G93" i="11" s="1"/>
  <c r="F92" i="11"/>
  <c r="G92" i="11" s="1"/>
  <c r="F91" i="11"/>
  <c r="G91" i="11" s="1"/>
  <c r="F90" i="11"/>
  <c r="G90" i="11" s="1"/>
  <c r="G89" i="11"/>
  <c r="E88" i="11"/>
  <c r="E87" i="11" s="1"/>
  <c r="D88" i="11"/>
  <c r="D87" i="11" s="1"/>
  <c r="H86" i="11"/>
  <c r="G86" i="11"/>
  <c r="H85" i="11"/>
  <c r="G85" i="11"/>
  <c r="F84" i="11"/>
  <c r="F83" i="11" s="1"/>
  <c r="E84" i="11"/>
  <c r="D84" i="11"/>
  <c r="G84" i="11" s="1"/>
  <c r="G83" i="11" s="1"/>
  <c r="H82" i="11"/>
  <c r="G82" i="11"/>
  <c r="H81" i="11"/>
  <c r="G81" i="11"/>
  <c r="F80" i="11"/>
  <c r="H80" i="11" s="1"/>
  <c r="D79" i="11"/>
  <c r="H78" i="11"/>
  <c r="G78" i="11"/>
  <c r="G76" i="11" s="1"/>
  <c r="H77" i="11"/>
  <c r="G77" i="11"/>
  <c r="F76" i="11"/>
  <c r="H76" i="11" s="1"/>
  <c r="D76" i="11"/>
  <c r="H75" i="11"/>
  <c r="F75" i="11"/>
  <c r="G75" i="11" s="1"/>
  <c r="G74" i="11" s="1"/>
  <c r="F74" i="11"/>
  <c r="H74" i="11" s="1"/>
  <c r="D74" i="11"/>
  <c r="H73" i="11"/>
  <c r="G73" i="11"/>
  <c r="H70" i="11"/>
  <c r="G70" i="11"/>
  <c r="G68" i="11" s="1"/>
  <c r="H69" i="11"/>
  <c r="G69" i="11"/>
  <c r="F68" i="11"/>
  <c r="H68" i="11" s="1"/>
  <c r="D68" i="11"/>
  <c r="D67" i="11"/>
  <c r="H67" i="11" s="1"/>
  <c r="F66" i="11"/>
  <c r="H63" i="11"/>
  <c r="G63" i="11"/>
  <c r="G62" i="11" s="1"/>
  <c r="H62" i="11"/>
  <c r="F62" i="11"/>
  <c r="D62" i="11"/>
  <c r="H61" i="11"/>
  <c r="G61" i="11"/>
  <c r="H60" i="11"/>
  <c r="G60" i="11"/>
  <c r="F59" i="11"/>
  <c r="G59" i="11" s="1"/>
  <c r="H58" i="11"/>
  <c r="G58" i="11"/>
  <c r="H57" i="11"/>
  <c r="G57" i="11"/>
  <c r="H56" i="11"/>
  <c r="G56" i="11"/>
  <c r="H55" i="11"/>
  <c r="G55" i="11"/>
  <c r="H54" i="11"/>
  <c r="G54" i="11"/>
  <c r="F53" i="11"/>
  <c r="H53" i="11" s="1"/>
  <c r="D53" i="11"/>
  <c r="H50" i="11"/>
  <c r="H49" i="11"/>
  <c r="H48" i="11"/>
  <c r="H46" i="11"/>
  <c r="G46" i="11"/>
  <c r="E46" i="11"/>
  <c r="H45" i="11"/>
  <c r="G45" i="11"/>
  <c r="H44" i="11"/>
  <c r="G44" i="11"/>
  <c r="H43" i="11"/>
  <c r="G43" i="11"/>
  <c r="G42" i="11" s="1"/>
  <c r="F42" i="11"/>
  <c r="E42" i="11"/>
  <c r="D42" i="11"/>
  <c r="H42" i="11" s="1"/>
  <c r="H41" i="11"/>
  <c r="G41" i="11"/>
  <c r="H40" i="11"/>
  <c r="G40" i="11"/>
  <c r="H39" i="11"/>
  <c r="G39" i="11"/>
  <c r="G37" i="11" s="1"/>
  <c r="H38" i="11"/>
  <c r="G38" i="11"/>
  <c r="F38" i="11"/>
  <c r="F37" i="11"/>
  <c r="H37" i="11" s="1"/>
  <c r="E37" i="11"/>
  <c r="D37" i="11"/>
  <c r="H36" i="11"/>
  <c r="G36" i="11"/>
  <c r="H35" i="11"/>
  <c r="G35" i="11"/>
  <c r="H34" i="11"/>
  <c r="G34" i="11"/>
  <c r="G33" i="11" s="1"/>
  <c r="F33" i="11"/>
  <c r="H33" i="11" s="1"/>
  <c r="E33" i="11"/>
  <c r="D33" i="11"/>
  <c r="H32" i="11"/>
  <c r="G32" i="11"/>
  <c r="H31" i="11"/>
  <c r="G31" i="11"/>
  <c r="H30" i="11"/>
  <c r="G30" i="11"/>
  <c r="G29" i="11" s="1"/>
  <c r="F29" i="11"/>
  <c r="H29" i="11" s="1"/>
  <c r="E29" i="11"/>
  <c r="E28" i="11" s="1"/>
  <c r="D29" i="11"/>
  <c r="D28" i="11" s="1"/>
  <c r="H27" i="11"/>
  <c r="G27" i="11"/>
  <c r="G26" i="11" s="1"/>
  <c r="F27" i="11"/>
  <c r="F26" i="11"/>
  <c r="H26" i="11" s="1"/>
  <c r="D26" i="11"/>
  <c r="H25" i="11"/>
  <c r="F25" i="11"/>
  <c r="G25" i="11" s="1"/>
  <c r="G24" i="11" s="1"/>
  <c r="F24" i="11"/>
  <c r="H24" i="11" s="1"/>
  <c r="D24" i="11"/>
  <c r="H23" i="11"/>
  <c r="G23" i="11"/>
  <c r="H22" i="11"/>
  <c r="G22" i="11"/>
  <c r="H21" i="11"/>
  <c r="G21" i="11"/>
  <c r="G20" i="11" s="1"/>
  <c r="F21" i="11"/>
  <c r="D21" i="11"/>
  <c r="D20" i="11"/>
  <c r="F17" i="11"/>
  <c r="H17" i="11" s="1"/>
  <c r="D17" i="11"/>
  <c r="G17" i="11" s="1"/>
  <c r="F16" i="11"/>
  <c r="D16" i="11"/>
  <c r="G16" i="11" s="1"/>
  <c r="H15" i="11"/>
  <c r="G15" i="11"/>
  <c r="F15" i="11"/>
  <c r="D15" i="11"/>
  <c r="F14" i="11"/>
  <c r="D14" i="11"/>
  <c r="G14" i="11" s="1"/>
  <c r="F13" i="11"/>
  <c r="D13" i="11"/>
  <c r="G13" i="11" s="1"/>
  <c r="F12" i="11"/>
  <c r="H12" i="11" s="1"/>
  <c r="D12" i="11"/>
  <c r="G12" i="11" s="1"/>
  <c r="F11" i="11"/>
  <c r="D11" i="11"/>
  <c r="G11" i="11" s="1"/>
  <c r="F10" i="11"/>
  <c r="H10" i="11" s="1"/>
  <c r="D10" i="11"/>
  <c r="E9" i="11"/>
  <c r="E8" i="11"/>
  <c r="E7" i="11"/>
  <c r="E39" i="12" l="1"/>
  <c r="G39" i="12" s="1"/>
  <c r="G75" i="1"/>
  <c r="G167" i="1"/>
  <c r="G166" i="1"/>
  <c r="G182" i="1"/>
  <c r="G34" i="1"/>
  <c r="G35" i="1"/>
  <c r="G88" i="1"/>
  <c r="G155" i="1"/>
  <c r="G154" i="1"/>
  <c r="G52" i="1"/>
  <c r="G96" i="1"/>
  <c r="G16" i="1"/>
  <c r="F42" i="16"/>
  <c r="G43" i="16"/>
  <c r="E42" i="16"/>
  <c r="G8" i="16"/>
  <c r="E7" i="16"/>
  <c r="F99" i="16"/>
  <c r="F53" i="16"/>
  <c r="G96" i="16"/>
  <c r="E95" i="16"/>
  <c r="F27" i="16"/>
  <c r="F81" i="16"/>
  <c r="G27" i="16"/>
  <c r="E18" i="16"/>
  <c r="F82" i="16"/>
  <c r="F9" i="16"/>
  <c r="F35" i="16"/>
  <c r="G107" i="15"/>
  <c r="G9" i="15"/>
  <c r="G57" i="15"/>
  <c r="E56" i="15"/>
  <c r="E21" i="15"/>
  <c r="G23" i="15"/>
  <c r="F52" i="15"/>
  <c r="F68" i="15"/>
  <c r="F67" i="15" s="1"/>
  <c r="F63" i="15" s="1"/>
  <c r="E67" i="15"/>
  <c r="G68" i="15"/>
  <c r="F90" i="15"/>
  <c r="F88" i="15" s="1"/>
  <c r="F72" i="15" s="1"/>
  <c r="F71" i="15" s="1"/>
  <c r="G39" i="15"/>
  <c r="G90" i="15"/>
  <c r="E88" i="15"/>
  <c r="G42" i="15"/>
  <c r="F39" i="15"/>
  <c r="F34" i="15" s="1"/>
  <c r="F20" i="15" s="1"/>
  <c r="G74" i="15"/>
  <c r="E73" i="15"/>
  <c r="G35" i="15"/>
  <c r="E34" i="15"/>
  <c r="E95" i="15"/>
  <c r="G96" i="15"/>
  <c r="I50" i="14"/>
  <c r="F47" i="14"/>
  <c r="F74" i="14"/>
  <c r="G9" i="14"/>
  <c r="I116" i="14"/>
  <c r="G34" i="14"/>
  <c r="F38" i="14"/>
  <c r="D89" i="14"/>
  <c r="I90" i="14"/>
  <c r="G56" i="14"/>
  <c r="E46" i="14"/>
  <c r="I95" i="14"/>
  <c r="G95" i="14"/>
  <c r="G116" i="14"/>
  <c r="E115" i="14"/>
  <c r="G121" i="14"/>
  <c r="I11" i="14"/>
  <c r="G19" i="14"/>
  <c r="G74" i="14"/>
  <c r="I74" i="14"/>
  <c r="F21" i="14"/>
  <c r="I79" i="14"/>
  <c r="F78" i="14"/>
  <c r="I78" i="14" s="1"/>
  <c r="F59" i="14"/>
  <c r="G90" i="14"/>
  <c r="I121" i="14"/>
  <c r="I60" i="14"/>
  <c r="D46" i="14"/>
  <c r="D8" i="14"/>
  <c r="I9" i="14"/>
  <c r="F9" i="14"/>
  <c r="F8" i="14" s="1"/>
  <c r="F96" i="13"/>
  <c r="G96" i="13"/>
  <c r="E95" i="13"/>
  <c r="G158" i="13"/>
  <c r="E170" i="13"/>
  <c r="G171" i="13"/>
  <c r="E152" i="13"/>
  <c r="G145" i="13"/>
  <c r="G58" i="13"/>
  <c r="G9" i="13"/>
  <c r="E8" i="13"/>
  <c r="F68" i="13"/>
  <c r="G240" i="13"/>
  <c r="F221" i="13"/>
  <c r="E24" i="13"/>
  <c r="G26" i="13"/>
  <c r="D76" i="13"/>
  <c r="D75" i="13" s="1"/>
  <c r="D74" i="13" s="1"/>
  <c r="D73" i="13" s="1"/>
  <c r="F9" i="13"/>
  <c r="G244" i="13"/>
  <c r="F240" i="13"/>
  <c r="F86" i="13"/>
  <c r="G183" i="13"/>
  <c r="G21" i="13"/>
  <c r="E20" i="13"/>
  <c r="G68" i="13"/>
  <c r="F126" i="13"/>
  <c r="G246" i="13"/>
  <c r="G86" i="13"/>
  <c r="G76" i="13"/>
  <c r="E75" i="13"/>
  <c r="G166" i="13"/>
  <c r="G188" i="13"/>
  <c r="E185" i="13"/>
  <c r="F246" i="13"/>
  <c r="F171" i="13"/>
  <c r="G105" i="13"/>
  <c r="F45" i="13"/>
  <c r="D19" i="13"/>
  <c r="D7" i="13" s="1"/>
  <c r="D6" i="13" s="1"/>
  <c r="D258" i="13" s="1"/>
  <c r="G250" i="13"/>
  <c r="E249" i="13"/>
  <c r="G45" i="13"/>
  <c r="D44" i="13"/>
  <c r="D43" i="13" s="1"/>
  <c r="F152" i="13"/>
  <c r="G138" i="13"/>
  <c r="G221" i="13"/>
  <c r="E220" i="13"/>
  <c r="E55" i="13"/>
  <c r="F22" i="13"/>
  <c r="F250" i="13"/>
  <c r="F158" i="13"/>
  <c r="G173" i="13"/>
  <c r="G101" i="13"/>
  <c r="E216" i="13"/>
  <c r="G217" i="13"/>
  <c r="F217" i="13"/>
  <c r="E126" i="13"/>
  <c r="G127" i="13"/>
  <c r="H145" i="11"/>
  <c r="H14" i="11"/>
  <c r="H16" i="11"/>
  <c r="H149" i="11"/>
  <c r="D9" i="11"/>
  <c r="D8" i="11" s="1"/>
  <c r="H11" i="11"/>
  <c r="H13" i="11"/>
  <c r="H147" i="11"/>
  <c r="H151" i="11"/>
  <c r="F27" i="12"/>
  <c r="G28" i="11"/>
  <c r="G88" i="11"/>
  <c r="G53" i="11"/>
  <c r="G120" i="11"/>
  <c r="F23" i="12"/>
  <c r="G106" i="11"/>
  <c r="G127" i="11"/>
  <c r="F12" i="12"/>
  <c r="H83" i="11"/>
  <c r="F20" i="11"/>
  <c r="G97" i="11"/>
  <c r="G95" i="11" s="1"/>
  <c r="F106" i="11"/>
  <c r="H106" i="11" s="1"/>
  <c r="E38" i="12"/>
  <c r="G38" i="12" s="1"/>
  <c r="F65" i="11"/>
  <c r="D83" i="11"/>
  <c r="D72" i="11" s="1"/>
  <c r="D71" i="11" s="1"/>
  <c r="G99" i="11"/>
  <c r="G98" i="11" s="1"/>
  <c r="G146" i="11"/>
  <c r="F31" i="12"/>
  <c r="F41" i="12"/>
  <c r="F40" i="12" s="1"/>
  <c r="G10" i="11"/>
  <c r="G9" i="11" s="1"/>
  <c r="G8" i="11" s="1"/>
  <c r="F28" i="11"/>
  <c r="H28" i="11" s="1"/>
  <c r="H47" i="11"/>
  <c r="H59" i="11"/>
  <c r="G67" i="11"/>
  <c r="G66" i="11" s="1"/>
  <c r="G65" i="11" s="1"/>
  <c r="G64" i="11" s="1"/>
  <c r="F79" i="11"/>
  <c r="H84" i="11"/>
  <c r="F88" i="11"/>
  <c r="F103" i="11"/>
  <c r="H103" i="11" s="1"/>
  <c r="G124" i="11"/>
  <c r="F127" i="11"/>
  <c r="G132" i="11"/>
  <c r="G137" i="11"/>
  <c r="H141" i="11"/>
  <c r="F143" i="11"/>
  <c r="G14" i="12"/>
  <c r="G25" i="12"/>
  <c r="E40" i="12"/>
  <c r="G40" i="12" s="1"/>
  <c r="G125" i="11"/>
  <c r="G80" i="11"/>
  <c r="G79" i="11" s="1"/>
  <c r="G72" i="11" s="1"/>
  <c r="G150" i="11"/>
  <c r="F9" i="11"/>
  <c r="D66" i="11"/>
  <c r="D65" i="11" s="1"/>
  <c r="D64" i="11" s="1"/>
  <c r="D7" i="11" s="1"/>
  <c r="F39" i="12"/>
  <c r="F38" i="12" s="1"/>
  <c r="G114" i="11"/>
  <c r="G144" i="11"/>
  <c r="G148" i="11"/>
  <c r="G152" i="11"/>
  <c r="G201" i="1" l="1"/>
  <c r="G87" i="1"/>
  <c r="G51" i="1"/>
  <c r="G50" i="1"/>
  <c r="G181" i="1"/>
  <c r="G180" i="1"/>
  <c r="G15" i="1"/>
  <c r="G95" i="1"/>
  <c r="G92" i="1"/>
  <c r="G74" i="1"/>
  <c r="G125" i="1"/>
  <c r="G42" i="16"/>
  <c r="E34" i="16"/>
  <c r="F8" i="16"/>
  <c r="G95" i="16"/>
  <c r="E94" i="16"/>
  <c r="G94" i="16" s="1"/>
  <c r="G7" i="16"/>
  <c r="F7" i="16"/>
  <c r="G18" i="16"/>
  <c r="F18" i="16"/>
  <c r="F34" i="16"/>
  <c r="F95" i="16"/>
  <c r="F8" i="15"/>
  <c r="G56" i="15"/>
  <c r="E53" i="15"/>
  <c r="G73" i="15"/>
  <c r="E72" i="15"/>
  <c r="G95" i="15"/>
  <c r="G67" i="15"/>
  <c r="E63" i="15"/>
  <c r="G88" i="15"/>
  <c r="G34" i="15"/>
  <c r="G21" i="15"/>
  <c r="G46" i="14"/>
  <c r="F56" i="14"/>
  <c r="I56" i="14" s="1"/>
  <c r="I59" i="14"/>
  <c r="D18" i="14"/>
  <c r="G8" i="14"/>
  <c r="E18" i="14"/>
  <c r="F19" i="14"/>
  <c r="I21" i="14"/>
  <c r="I89" i="14"/>
  <c r="G115" i="14"/>
  <c r="E89" i="14"/>
  <c r="I115" i="14"/>
  <c r="I8" i="14"/>
  <c r="F34" i="14"/>
  <c r="I34" i="14" s="1"/>
  <c r="I38" i="14"/>
  <c r="F46" i="14"/>
  <c r="I46" i="14" s="1"/>
  <c r="I47" i="14"/>
  <c r="G126" i="13"/>
  <c r="E44" i="13"/>
  <c r="G55" i="13"/>
  <c r="G152" i="13"/>
  <c r="E151" i="13"/>
  <c r="G95" i="13"/>
  <c r="F216" i="13"/>
  <c r="G20" i="13"/>
  <c r="F8" i="13"/>
  <c r="F220" i="13"/>
  <c r="G185" i="13"/>
  <c r="G220" i="13"/>
  <c r="F76" i="13"/>
  <c r="G24" i="13"/>
  <c r="F24" i="13"/>
  <c r="F44" i="13"/>
  <c r="F21" i="13"/>
  <c r="F170" i="13"/>
  <c r="G170" i="13"/>
  <c r="F95" i="13"/>
  <c r="E210" i="13"/>
  <c r="G216" i="13"/>
  <c r="G249" i="13"/>
  <c r="F249" i="13"/>
  <c r="E74" i="13"/>
  <c r="G75" i="13"/>
  <c r="E236" i="13"/>
  <c r="G8" i="13"/>
  <c r="F6" i="12"/>
  <c r="G126" i="11"/>
  <c r="G143" i="11"/>
  <c r="G142" i="11" s="1"/>
  <c r="H66" i="11"/>
  <c r="H88" i="11"/>
  <c r="F87" i="11"/>
  <c r="H87" i="11" s="1"/>
  <c r="H20" i="11"/>
  <c r="H143" i="11"/>
  <c r="F142" i="11"/>
  <c r="H142" i="11" s="1"/>
  <c r="F72" i="11"/>
  <c r="H79" i="11"/>
  <c r="H65" i="11"/>
  <c r="F64" i="11"/>
  <c r="G87" i="11"/>
  <c r="G71" i="11" s="1"/>
  <c r="G7" i="11" s="1"/>
  <c r="F8" i="11"/>
  <c r="H9" i="11"/>
  <c r="F126" i="11"/>
  <c r="H126" i="11" s="1"/>
  <c r="H127" i="11"/>
  <c r="E6" i="12"/>
  <c r="G6" i="12" s="1"/>
  <c r="G124" i="1" l="1"/>
  <c r="G123" i="1"/>
  <c r="G200" i="1"/>
  <c r="G199" i="1"/>
  <c r="F94" i="16"/>
  <c r="G34" i="16"/>
  <c r="E33" i="16"/>
  <c r="F33" i="16"/>
  <c r="G63" i="15"/>
  <c r="G72" i="15"/>
  <c r="E71" i="15"/>
  <c r="E52" i="15"/>
  <c r="G53" i="15"/>
  <c r="D17" i="14"/>
  <c r="F18" i="14"/>
  <c r="F17" i="14" s="1"/>
  <c r="F7" i="14" s="1"/>
  <c r="F104" i="14" s="1"/>
  <c r="I19" i="14"/>
  <c r="G89" i="14"/>
  <c r="G18" i="14"/>
  <c r="E17" i="14"/>
  <c r="F43" i="13"/>
  <c r="F75" i="13"/>
  <c r="G44" i="13"/>
  <c r="E43" i="13"/>
  <c r="E209" i="13"/>
  <c r="G210" i="13"/>
  <c r="E150" i="13"/>
  <c r="G151" i="13"/>
  <c r="G236" i="13"/>
  <c r="F20" i="13"/>
  <c r="F210" i="13"/>
  <c r="F236" i="13"/>
  <c r="G74" i="13"/>
  <c r="E73" i="13"/>
  <c r="F151" i="13"/>
  <c r="H72" i="11"/>
  <c r="F71" i="11"/>
  <c r="H71" i="11" s="1"/>
  <c r="H8" i="11"/>
  <c r="H64" i="11"/>
  <c r="H52" i="11"/>
  <c r="H19" i="11"/>
  <c r="G86" i="1" l="1"/>
  <c r="G14" i="1"/>
  <c r="F6" i="16"/>
  <c r="G33" i="16"/>
  <c r="E6" i="16"/>
  <c r="G52" i="15"/>
  <c r="E20" i="15"/>
  <c r="G71" i="15"/>
  <c r="G17" i="14"/>
  <c r="E7" i="14"/>
  <c r="I17" i="14"/>
  <c r="D7" i="14"/>
  <c r="I18" i="14"/>
  <c r="G150" i="13"/>
  <c r="E208" i="13"/>
  <c r="G209" i="13"/>
  <c r="F74" i="13"/>
  <c r="G43" i="13"/>
  <c r="E19" i="13"/>
  <c r="G73" i="13"/>
  <c r="F150" i="13"/>
  <c r="F209" i="13"/>
  <c r="H18" i="11"/>
  <c r="F7" i="11"/>
  <c r="H7" i="11" s="1"/>
  <c r="G85" i="1" l="1"/>
  <c r="G6" i="16"/>
  <c r="E102" i="16"/>
  <c r="H105" i="16"/>
  <c r="G20" i="15"/>
  <c r="E8" i="15"/>
  <c r="I7" i="14"/>
  <c r="D104" i="14"/>
  <c r="I104" i="14" s="1"/>
  <c r="G7" i="14"/>
  <c r="E104" i="14"/>
  <c r="F73" i="13"/>
  <c r="G19" i="13"/>
  <c r="E7" i="13"/>
  <c r="G208" i="13"/>
  <c r="F208" i="13"/>
  <c r="G73" i="1" l="1"/>
  <c r="G8" i="15"/>
  <c r="H104" i="14"/>
  <c r="G104" i="14"/>
  <c r="E6" i="13"/>
  <c r="G7" i="13"/>
  <c r="F19" i="13"/>
  <c r="G13" i="1" l="1"/>
  <c r="E6" i="1"/>
  <c r="G6" i="1" s="1"/>
  <c r="F7" i="13"/>
  <c r="E258" i="13"/>
  <c r="G6" i="13"/>
  <c r="G258" i="13" l="1"/>
  <c r="F6" i="13"/>
  <c r="F258" i="13" l="1"/>
</calcChain>
</file>

<file path=xl/comments1.xml><?xml version="1.0" encoding="utf-8"?>
<comments xmlns="http://schemas.openxmlformats.org/spreadsheetml/2006/main">
  <authors>
    <author>duongthihonganh</author>
    <author>Admin</author>
  </authors>
  <commentList>
    <comment ref="D60" authorId="0" shapeId="0">
      <text>
        <r>
          <rPr>
            <b/>
            <sz val="8"/>
            <color indexed="81"/>
            <rFont val="Tahoma"/>
            <family val="2"/>
          </rPr>
          <t>duongthihonganh:</t>
        </r>
        <r>
          <rPr>
            <sz val="8"/>
            <color indexed="81"/>
            <rFont val="Tahoma"/>
            <family val="2"/>
          </rPr>
          <t xml:space="preserve">
Do KTNN kết luận làm tròn số nên +277 đ</t>
        </r>
      </text>
    </comment>
    <comment ref="E62" authorId="1" shapeId="0">
      <text>
        <r>
          <rPr>
            <b/>
            <sz val="9"/>
            <color indexed="81"/>
            <rFont val="Tahoma"/>
            <family val="2"/>
          </rPr>
          <t>Admin:</t>
        </r>
        <r>
          <rPr>
            <sz val="9"/>
            <color indexed="81"/>
            <rFont val="Tahoma"/>
            <family val="2"/>
          </rPr>
          <t xml:space="preserve">
Theo kiến nghị thực hiện KTNN năm 2017</t>
        </r>
      </text>
    </comment>
  </commentList>
</comments>
</file>

<file path=xl/sharedStrings.xml><?xml version="1.0" encoding="utf-8"?>
<sst xmlns="http://schemas.openxmlformats.org/spreadsheetml/2006/main" count="1972" uniqueCount="1092">
  <si>
    <t>TT</t>
  </si>
  <si>
    <t>Đơn vị/Chỉ tiêu</t>
  </si>
  <si>
    <t>Số tiền</t>
  </si>
  <si>
    <t>Ghi chú</t>
  </si>
  <si>
    <t>A</t>
  </si>
  <si>
    <t>NGÂN SÁCH ĐỊA PHƯƠNG NĂM 2018</t>
  </si>
  <si>
    <t>I</t>
  </si>
  <si>
    <t>THU HỒI NỘP NSNN CÁC KHOẢN CHI SAI CHẾ ĐỘ</t>
  </si>
  <si>
    <t>Chi XDCB</t>
  </si>
  <si>
    <t>BQLDA đầu tư xây dựng tỉnh Quảng Nam</t>
  </si>
  <si>
    <t>BQLDA và Qũy đất thành phố Hội An</t>
  </si>
  <si>
    <t>BQL các Dự án ĐTXD huyện Thăng Bình</t>
  </si>
  <si>
    <t>BQLDA Xây dựng kết cấu hạ tầng huyện Phú Ninh</t>
  </si>
  <si>
    <t>Chi thường xuyên</t>
  </si>
  <si>
    <t>Sở Tài nguyên và Môi trường</t>
  </si>
  <si>
    <t>1.1</t>
  </si>
  <si>
    <t>Tại Văn phòng đăng ký đất đai</t>
  </si>
  <si>
    <t>Sử dụng KP NS cấp mua sắm tài sản chi sửa chữa, chi mua sắm CCDC, phụ cấp kiêm nhiệm không đúng nhiệm vụ, dự toán giao;</t>
  </si>
  <si>
    <t>1.2</t>
  </si>
  <si>
    <t>Trung tâm quan trắc và phân tích môi trường</t>
  </si>
  <si>
    <t>Gồm:</t>
  </si>
  <si>
    <t>Do đơn vị sử dụng kinh phí không tự chủ NS cấp chi vận hành trạm quan trắc môi trường online để chi cho các hoạt động thường xuyên như thanh toán tiền điện thoại, thanh toán tiền nước sinh hoạt, thanh toán tiền điện, tiền văn phòng phẩm thuộc kinh phí tự chủ</t>
  </si>
  <si>
    <t>Do giảm một số chi phí dụng cụ, điện năng tiêu hao (Chi phí lập báo cáo hiện trạng môi trường tại các khu công nghiệp trên địa bàn tỉnh Quảng Nam)</t>
  </si>
  <si>
    <t>Sở Giao thông vận tải</t>
  </si>
  <si>
    <t>2.1</t>
  </si>
  <si>
    <t>Văn phòng Sở</t>
  </si>
  <si>
    <t>Kinh phí xây dựng phần mềm hệ thống thông tin quản lý hạ tầng giao thông vận tải tỉnh Quảng Nam</t>
  </si>
  <si>
    <t xml:space="preserve">- Giảm một số khối lượng ở chức năng báo cáo thống kế (chuyển mức độ trung bình đối với chức năng số 48) đã được hệ điều hành Window hỗ trợ không cần thiết phải xây dựng tương ứng giảm số tiền 18.221.000đ; 
- Giảm khối lượng xác định lại ở mức trung bình, căn cứ theo Công văn 2589/BTTTT-ƯDCNTT ngày 24/8/2011 của Bộ Thông tin truyền thông tương ứng giảm số tiền 18.221.000đ.   </t>
  </si>
  <si>
    <t>Kinh phí Quản lý, bảo dưỡng thường xuyên các tuyến thủy nội địa địa phương năm 2018</t>
  </si>
  <si>
    <t>Do sử dụng sai chi phí nhân công đối với Công tác đặc thù trong quản lý, bảo trì đường thủy nội địa;</t>
  </si>
  <si>
    <t xml:space="preserve">Kinh phí Quản lý, bảo dưỡng thường xuyên các tuyến đường thủy nội địa quốc gia trên địa bàn Quảng Nam năm 2018 </t>
  </si>
  <si>
    <t>Kinh phí sửa chữa khắc phục bảo lũ bước 2 năm 2018</t>
  </si>
  <si>
    <t>Công trình sửa chữa khắc phục hư hỏng mặt đường ĐT.609 bị thiệt hại do cơn bảo số 12 và mưa lũ 2017 giảm 35.990.000đ, do xác định lại khối lượng đắp đất K95 và K98 đất cấp 3; (2) Công trình sửa chữa khắc phục bảo lũ bước 2 bị thiệt hại do bảo số 12 và mưa lũ năm 2017 - đường dẫn cầu Duy Phước - Cẩm Kim giảm 25.450.000đ, do kiểm toán xác định lại đơn giá đối với công tác sơn chống ăn mòn bằng nhựa đường</t>
  </si>
  <si>
    <t>Quỹ bảo trì đường bộ địa phương</t>
  </si>
  <si>
    <t>Sửa chữa mặt đường, rãnh dọc các đoạn Km1+200 – Km8+00 tuyến ĐH13.HĐ huyện Hiệp Đức 26.830.192đ do tính thừa một số khối lượng, đơn giá; Quản lý và Bảo dưỡng thường xuyên các tuyến ĐT: 53.614.865đ, do thừa một số khối lượng</t>
  </si>
  <si>
    <t>Sở Công thương</t>
  </si>
  <si>
    <t>3.1</t>
  </si>
  <si>
    <t>Đăng tin trên báo Quảng Nam "Công Thương Quảng Nam - Hợp tác phát triển", báo Công Thương, đối ngoại, Tạp chí tiêu dùng chưa đúng tính chất nguồn kinh phí, không thuộc chức năng nhiệm vụ của Sở Công Thương quy định tại Quyết định số 30/2015/QĐ-UBND ngày 27/201/2015 của UBND tỉnh Quảng Nam.</t>
  </si>
  <si>
    <r>
      <t>Thanh toán xây dựng hệ thống hóa văn bản QLNN ngành Công Thương số tiền 65trđ phải dùng từ nguồn kinh phí tự chủ; thanh toán hoạt động thanh tra, kiểm tra lĩnh vực ngành quản lý; đoàn kiểm tra liên ngành... số tiền 259,7trđ là hoạt động thuộc chức năng, nhiệm vụ thường xuyên của Sở đã bao gồm trong định mức hoạt động thường xuyên theo quy định tại khoản 2, Điều 10 Quyết định số 26/2016/QĐ-UBND ngày 08/12/2016 của tỉnh Quảng Nam;</t>
    </r>
    <r>
      <rPr>
        <b/>
        <i/>
        <sz val="12"/>
        <rFont val="Times New Roman"/>
        <family val="1"/>
      </rPr>
      <t xml:space="preserve"> </t>
    </r>
    <r>
      <rPr>
        <i/>
        <sz val="12"/>
        <rFont val="Times New Roman"/>
        <family val="1"/>
      </rPr>
      <t>khoản 2 và khoản 6, Điều 3 Thông tư số 71/2014/TTLT-BTC-BNV ngày 30/5/2014 của Bộ Tài chính và Bộ Nội vụ</t>
    </r>
  </si>
  <si>
    <t>Huyện Phú Ninh</t>
  </si>
  <si>
    <t>Trung tâm phát triển Cụm công nghiệp và DVTM</t>
  </si>
  <si>
    <t>Dự toán và quyết toán kinh phí duy trì, bảo dưỡng, chăm sóc cây xanh tại cụm Công nghiệp Chợ Lò và cụm Công nghiệp Tam Đàn bao gồm cả thuế GTGT không thuộc đối tượng chịu thuế GTGT qui định tại khoản 11 điều 4 Thông tư 219/2013/TT-BTC ngày 31/12/2013</t>
  </si>
  <si>
    <t>Phòng Tài nguyên và Môi trường</t>
  </si>
  <si>
    <t>Dự toán, quyết toán dịch vụ thu gom và vận chuyển rác thải trên địa bàn huyện Phú Ninh năm 2018 tính thừa định mức 1 nhân công tương ứng số tiền 92,388trđ</t>
  </si>
  <si>
    <t>Huyện Quế Sơn</t>
  </si>
  <si>
    <t>Kinh phí lập kế hoạch sử dụng đất tính thừa định mức</t>
  </si>
  <si>
    <t>II</t>
  </si>
  <si>
    <t>CÁC KHOẢN NỘP TRẢ NGÂN SÁCH</t>
  </si>
  <si>
    <t>Nộp trả ngân sách trung ương</t>
  </si>
  <si>
    <t>Sở Tài chính</t>
  </si>
  <si>
    <t>Địa phương đã chủ động sử dụng nguồn CCTL 1.962.000trđ để bổ sung vốn đầu tư, nhưng TW vẫn bổ sung có mục tiêu cho địa phương để thực hiện 09 chính sách an sinh xã hội 63.100trđ là chưa phù hợp với Điểm 7, Điều 3, Nghị quyết số 49/2017/QH14 của Quốc hội.</t>
  </si>
  <si>
    <t>Nguồn vốn đầu tư NSTW bổ sung có mục tiêu từ các năm trước đã được Thủ tướng Chính phủ cho phép kéo dài nhưng vẫn không sử dụng hết nhưng Địa phương không nộp trả cho ngân sách trung ương theo quy định tại Điểm đ, Khoản 2, Điều 9 Thông tư số 342/TT-BTC</t>
  </si>
  <si>
    <t>Nộp trả NS tỉnh</t>
  </si>
  <si>
    <t>Kiểm toán tổng hợp tại Sở Tài chính</t>
  </si>
  <si>
    <t>Các huyện nộp trả NS tỉnh</t>
  </si>
  <si>
    <t>Tỉnh bổ sung cho các huyện đến cuối năm kinh phí còn thừa số tiền 7.056trđ (Bắc Trà My 1.497trđ; huyện Hiệp Đức 341trđ; Núi Thành 368trđ; Nông Sơn 1.230trđ; Điện Bàn 16,6trđ; Tây Giang 21trđ; Tiên Phước 1.571trđ; Đại Lộc 2.011trđ)</t>
  </si>
  <si>
    <t>Huyện Thăng Bình</t>
  </si>
  <si>
    <t>Phòng Tài chính - Kế hoạch</t>
  </si>
  <si>
    <t>Kinh phí cấp bù thủy lợi phí của HTX nông nghiệp Bình Hải năm 2015-2017 nộp vào TK tạm thu, tạm giữ và đã nộp vào ngân sách huyện chưa nộp trả NS tỉnh theo qui định</t>
  </si>
  <si>
    <t>2.2</t>
  </si>
  <si>
    <t>Ban chỉ đạo CTMTQG xây dựng Nông thôn mới</t>
  </si>
  <si>
    <t xml:space="preserve">Nộp trả NS tỉnh kinh phí chương trình MTQG nông thôn mới hết nhiệm vụ chi theo qui định </t>
  </si>
  <si>
    <t>Nguồn kinh phí tỉnh bổ sung có mục tiêu hết nhiệm vụ chi chưa nộp trả NS tỉnh</t>
  </si>
  <si>
    <t>Thành phố Hội An</t>
  </si>
  <si>
    <t xml:space="preserve"> Kinh phí bổ sung có mục tiêu được tỉnh giao đầu năm (trước 30/9/2018) nhưng không thực hiện theo mục tiêu được giao mà chuyển nguồn 1.249,2trđ là không thuộc đối tượng chuyển nguồn quy định tại điều 43, điểm 1, khoản đ  Nghị định số 163/2016/NĐ-CP ngày 21/12/2016 của Chính phủ và điều 9, điểm 2, khoản đ  Thông tư số 342/2016/TT-BTC ngày 30/12/2016 của Bộ Tài chính </t>
  </si>
  <si>
    <t>Nộp trả ngân sách huyện</t>
  </si>
  <si>
    <t>Các xã, thị trấn</t>
  </si>
  <si>
    <t>Kinh phí học tập cộng đồng còn số dư trên tài khoản tiền gửi đã hết nhiệm vụ chưa nộp trả ngân sách huyện</t>
  </si>
  <si>
    <t>Nộp trả khác</t>
  </si>
  <si>
    <t>Phòng Kinh tế - Hạ tầng: Nộp trả Quỹ bảo trì đường bộ</t>
  </si>
  <si>
    <t>Sử dụng Quỹ bảo trì đường bộ (được tỉnh cấp vào TKTG) chi phụ cấp kiệm nhiệm, tiếp khách 33,7trđ cho các thành viên BQL dự án không đúng qui định tại điều 2 Thông tư 60/2017/TT-BTC ngày 15/6/2017</t>
  </si>
  <si>
    <t>III</t>
  </si>
  <si>
    <t>CÁC KHOẢN PHẢI NỘP NHƯNG CHƯA NỘP NSNN</t>
  </si>
  <si>
    <t>Huyện Duy Xuyên</t>
  </si>
  <si>
    <t>Tạm thu tiền sử dụng đất tại KBNN Duy Xuyên, phát sinh từ các dự án tại Vùng Đông huyện Duy Xuyên do BQL Khu kinh tế mở Chu Lai làm Chủ đầu tư 2.345trđ, phòng TC-KH huyện Duy Xuyên không phản ánh kịp thời nguồn thu tiền sử dụng đất vào NSNN là không đúng qui định tại Khoản 2, Điều 13, Luật NSNN số 83/2015/QH13.</t>
  </si>
  <si>
    <t>GIẢM DỰ TOÁN, GIẢM THANH TOÁN NĂM SAU</t>
  </si>
  <si>
    <t>BQLDA và Quỹ đất thành phố Hội An</t>
  </si>
  <si>
    <t>BQLDA - Quỹ đất huyện Quế Sơn</t>
  </si>
  <si>
    <t xml:space="preserve">Kiểm toán tổng hợp tại Sở Tài chính </t>
  </si>
  <si>
    <t>Các trường học</t>
  </si>
  <si>
    <t>Dự toán chi sự nghiệp đào tạo phân bổ theo chỉ tiêu đào tạo bình quân; qua rà soát theo số liệu báo cáo của Sở Tài chính, một số Trường đào tạo chưa đủ chỉ tiêu bình quân được giao năm 2018 tương ứng với kinh phí NSNN cấp phải giảm trừ tương ứng 9.908trđ gồm: Trường Cao đẳng Y tế 6.529trđ (chỉ tiêu đào tạo bình quân giao 2.201 sinh viên, thực hiện 1.368 sinh viên); Trường Cao đẳng Công nghệ 1.614trđ (chỉ tiêu đào tạo bình quân giao 850 sinh viên, thực hiện 673 sinh viên); Trường Trung cấp VHNT 478trđ (chỉ tiêu đào tạo bình quân giao 159 sinh viên, thực hiện 82 sinh viên); Trường Chính trị 1.287trđ (chỉ tiêu đào tạo bình quân giao 680 sinh viên, thực hiện 568 sinh viên)</t>
  </si>
  <si>
    <t xml:space="preserve">Văn phòng Sở </t>
  </si>
  <si>
    <t>Do chuẩn xác lại đơn giá một số công tác (phụ cấp khu vực, định mức) đối với kinh phí đặt hàng công trình Cắm mốc ranh giới sử dụng đất và cấp giấy chứng nhận quyền sử dụng đất cho 03 Công ty nông, lâm nghiệp trên địa bàn tỉnh Quảng Nam</t>
  </si>
  <si>
    <t xml:space="preserve">
</t>
  </si>
  <si>
    <t>Do chuẩn xác lại đơn giá một số công tác (nguyên giá thiết bị máy toàn đạc điện tử) đối với kinh phí đặt hàng công trình Xây dựng hệ thống hồ sơ địa chính và cơ sở dữ liệu quản lý đất đai các xã (06 xã huyện Thăng Bình, 01 xã huyện Quế Sơn)</t>
  </si>
  <si>
    <t>Thị trấn Phú Thịnh</t>
  </si>
  <si>
    <t>Do huyện phân bổ, giao dự toán hỗ trợ vượt 01 cán bộ tăng cường theo Nghị quyết số 34/2012/NQ-HĐND ngày 19/4/2012 của HĐND huyện Phú Ninh</t>
  </si>
  <si>
    <t>Nộp trả NS tỉnh nguồn CCTL tỉnh bổ sung có mục tiêu thừa so với nhu cầu của địa phương</t>
  </si>
  <si>
    <t>GIẢM GIÁ TRỊ HỢP ĐỒNG/ TRÚNG THẦU</t>
  </si>
  <si>
    <t xml:space="preserve">KIẾN NGHỊ XỬ LÝ TÀI CHÍNH KHÁC </t>
  </si>
  <si>
    <t>B</t>
  </si>
  <si>
    <t>CTMTQG giảm nghèo bền vững giai đoạn 2016-2020</t>
  </si>
  <si>
    <t>Chuyên đề cơ chế tự chủ đối với các bệnh viện công lập giai đoạn 2016-2018</t>
  </si>
  <si>
    <t>Nộp trả ngân sách tỉnh, gồm:</t>
  </si>
  <si>
    <t>Bệnh viện Đa khoa tỉnh Quảng Nam</t>
  </si>
  <si>
    <r>
      <t xml:space="preserve">Tỉnh bổ sung kinh phí tăng công suất giường bệnh năm 2018 là 2.477,9trđ (sau khi thanh toán tiền thuê bảo vệ và điều dưỡng 1.231trđ) để chi tiền lương và phụ cấp cho đơn vị là không phù hợp do năm 2018 đơn vị đã áp dụng giá viện phí mới theo Thông tư 37/2015/TTLT-BYT-BTC. </t>
    </r>
    <r>
      <rPr>
        <b/>
        <i/>
        <sz val="12"/>
        <rFont val="Times New Roman"/>
        <family val="1"/>
      </rPr>
      <t>Năm 2018 đơn vị đã được giao tự chủ thường xuyên.</t>
    </r>
  </si>
  <si>
    <t>Bệnh viện Đa khoa khu vực miền núi phía Bắc Quảng Nam</t>
  </si>
  <si>
    <t>Tỉnh bổ sung kinh phí tăng công suất giường bệnh năm 2018 là 10.890trđ để chi tiền lương và phụ cấp cho đơn vị trong khi chi phí lương và các khoản theo lương cơ cấu vào giá dịch vụ khám chữa bệnh là 42.358trđ. Tổng quỹ lương thực hiện năm 2018 của đơn vị là 52.419trđ (theo mức lương cơ sở 1,39trđ). Ngân sách cấp thừa tiền lương 829trđ.</t>
  </si>
  <si>
    <t>Chuyên đề Chương trình MTQG giảm nghèo bền vững giai đoạn 2018-2020</t>
  </si>
  <si>
    <t>Huyện Phước Sơn</t>
  </si>
  <si>
    <t>Kinh phí CTMTQG giảm nghèo bền vững hết nhiệm vụ chi, còn tồn chưa nộp trả NS tỉnh (trong đó kinh phí thuộc NSTW 704,3trđ)</t>
  </si>
  <si>
    <t>Huyện Đông Giang</t>
  </si>
  <si>
    <t>Kinh phí CTMTQG giảm nghèo bền vững hết nhiệm vụ chi, còn tồn chưa nộp trả NS tỉnh (kinh phí thuộc NSĐP)</t>
  </si>
  <si>
    <t>Chênh lệch lưu lượng sinh viên thực tế thấp hơn dự toán đã giao đầu năm 2018 là 244 sinh viên  tương ứng cấp thừa 1.867.236.333đ</t>
  </si>
  <si>
    <t>Chuyên đề giảm nghèo bền vững giai đoạn 2016-2020</t>
  </si>
  <si>
    <t>Trung tâm PT quỹ đất và quản lý các DA ĐTXD huyện Nam Trà My</t>
  </si>
  <si>
    <t>BQL DA ĐTXD và PT quỹ đất huyện Phước Sơn</t>
  </si>
  <si>
    <t>Ban quản lý dự án ĐTXD - Phát triển quỹ đất huyện Đông Giang</t>
  </si>
  <si>
    <t>Bổ sung tăng Quỹ học bổng khuyến khích học tập</t>
  </si>
  <si>
    <t>Đơn vị chưa thực hiện bổ sung quỹ học bổng, khuyến khích học tập từ nguồn thu lãi tiền gửi tại các ngân hàng thương mại, chưa đảm bảo quy định tại Nghị định 86/2015/NĐ-CP ngày 02/10/2015 của Chính phủ, số tiền 158.017.802đ</t>
  </si>
  <si>
    <t>Bố trí nguồn hoàn trả NSTW</t>
  </si>
  <si>
    <t>2.1.1</t>
  </si>
  <si>
    <t>Huyện Nam Trà My</t>
  </si>
  <si>
    <t>Phòng Lao động - Thương binh và Xã hội</t>
  </si>
  <si>
    <t>Sử dụng nguồn NSTW của Chương trình không đúng nguồn kinh phí theo quy định tại điểm b, Khoản 2 Điều 10 Thông tư số 15/2017/TT-BTC ngày 15/2/2017 của Bộ Tài chính</t>
  </si>
  <si>
    <t>2.1.2</t>
  </si>
  <si>
    <t>Phòng Văn hóa- Thông tin</t>
  </si>
  <si>
    <t>Các khoản thuế</t>
  </si>
  <si>
    <t>Phí, lệ phí</t>
  </si>
  <si>
    <t>Thu khác</t>
  </si>
  <si>
    <t>Chuyên đề cơ chế tự chủ tại đại học công lập giai đoạn 2016-2018</t>
  </si>
  <si>
    <t>Trường Đại học Quảng Nam</t>
  </si>
  <si>
    <t>Nội dung</t>
  </si>
  <si>
    <t>Đơn vị, địa phương</t>
  </si>
  <si>
    <t>THU NỘP NSNN CÁC KHOẢN THUẾ, CÁC KHOẢN THU KHÁC</t>
  </si>
  <si>
    <t xml:space="preserve">  - Thuế GTGT</t>
  </si>
  <si>
    <t xml:space="preserve">  - Thuế TNDN</t>
  </si>
  <si>
    <t>THU HỒI VÀ GIẢM CHI NGÂN SÁCH</t>
  </si>
  <si>
    <t>-</t>
  </si>
  <si>
    <t>2.3</t>
  </si>
  <si>
    <t>a</t>
  </si>
  <si>
    <t>b</t>
  </si>
  <si>
    <t>c</t>
  </si>
  <si>
    <t>d</t>
  </si>
  <si>
    <t>e</t>
  </si>
  <si>
    <t>1.1.1</t>
  </si>
  <si>
    <t>Số dư KHV CTMTQG năm 2017 trở về trước của kinh phí chương trình giảm nghèo bền vững không được phép kéo dài 26.531trđ (hết nhiệm vụ chi hủy ở các đơn vị nộp trả ngân sách tỉnh).</t>
  </si>
  <si>
    <t>Kinh phí CTMTQG chương trình xây dựng nông thôn mới năm 2018 số tiền 2.940trđ (hết nhiệm vụ chi hủy ở các đơn vị nộp trả ngân sách tỉnh).</t>
  </si>
  <si>
    <t>Các nhiệm vụ chi TWBS chuyển nguồn từ năm từ 2017 hết nhu cầu số tiền 6.977trđ; các nhiệm vụ chi năm 2018 hủy ở các đơn vị nộp trả ngân sách tỉnh 15.973trđ .</t>
  </si>
  <si>
    <t>1.1.2</t>
  </si>
  <si>
    <t>Chưa nộp trả NS tỉnh các nguồn kinh phí bổ sung có mục tiêu đã hết nhu cầu, nhiệm vụ chi qui định. (Kinh phí thực hiện Đường Giao thông Bình Quý - Bình Phú 314trđ)</t>
  </si>
  <si>
    <t>Chưa nộp trả NS tỉnh các nguồn kinh phí bổ sung có mục tiêu đã hết nhu cầu, nhiệm vụ chi qui định, gồm: Thực hiện NĐ 116/2016/NĐ-CP cho trường PTDT bán trú và học sinh bán trú 65,4trđ; Trợ cấp hằng tháng cho TNXP theo QĐ 29/2016/QĐ-TTg 1,2trđ; Hỗ trợ phát triển hợp tác, liên kết sản xuất gắn tiêu thụ nông sản, xây dựng cánh đồng mẫu lớn 251trđ; ứng dụng KHCN 254trđ (năm 2017 154trđ; năm 2018 99trđ); Thực hiện cơ chế khuyến khích thực hiện chủ trương "dồn điền, đổi thửa" đất nông nghiệp trên địa bàn tỉnh 338,4trđ; Đào tạo lao động và thực hiện công tác tuyên truyền, kiểm tra, giám sát đào tạo theo QĐ 3577/QĐ-UBND 325,4trđ; Thực hiện chính sách hỗ trợ đầu tư xây dựng HTKT cho các HTX theo QĐ 46/2014/QĐ-UBND 66trđ; CTMTQG NTM 415trđ; CTMTQG Giảm nghèo bền vững 2.112,3trđ</t>
  </si>
  <si>
    <t>2.1.3</t>
  </si>
  <si>
    <t>2.1.4</t>
  </si>
  <si>
    <t>B.1</t>
  </si>
  <si>
    <t>B.2</t>
  </si>
  <si>
    <t>B.3</t>
  </si>
  <si>
    <t>B.4</t>
  </si>
  <si>
    <t xml:space="preserve"> Chuyên đề cơ chế tự chủ tại đại học công lập giai đoạn 2016-2018</t>
  </si>
  <si>
    <t>B.5</t>
  </si>
  <si>
    <t>TỔNG HỢP KIẾN NGHỊ KHÁC TẠI TỈNH QUẢNG NAM</t>
  </si>
  <si>
    <t>Thuyết minh nguyên nhân</t>
  </si>
  <si>
    <t>TỔNG CỘNG (A+B)</t>
  </si>
  <si>
    <t>Thu hồi tạm ứng đã quá hạn</t>
  </si>
  <si>
    <t>Ứng trước kế hoạch vốn năm sau nhiều năm chưa thu hồi</t>
  </si>
  <si>
    <t>Tăng số dư nguồn CCTL năm 2018 chuyển sang năm 2019</t>
  </si>
  <si>
    <t>Tăng 10% tiết kiệm chi thường xuyên dự toán năm 2017 là 509trđ (huyện báo cáo chưa đầy đủ), tăng 40% nguồn thu học phí 638trđ</t>
  </si>
  <si>
    <t>Giảm chuyển nguồn tăng kết dư</t>
  </si>
  <si>
    <t>Chuyển nguồn chi mua sắm trang thiết bị khi chưa có đầy đủ hồ sơ, hợp đồng mua sắm trang thiết bị được ký trước ngày 31/12/2018 chưa đúng quy định tại Điểm a,b Khoản 1 Công văn số 15391/BTC-KBNN ngày 11/12/2018 của Bộ Tài chính</t>
  </si>
  <si>
    <t>Thu hồi tạm ứng quá hạn</t>
  </si>
  <si>
    <t>Trung tâm phát triển Cụm công nghiệp</t>
  </si>
  <si>
    <r>
      <t>Tạm ứng chi phí phục vụ GPMB 350trđ; Tạm ứng trả quỹ đất tỉnh năm 2017 212trđ; Tạm ứng bồi thường thiệt hại GPMB dự án Vinacappital 400trđ (năm 2013); tạm ứng kinh phí BTTH-GPMB mở rộng nhà máy may Domex năm 2015 37trđ, nhưng</t>
    </r>
    <r>
      <rPr>
        <i/>
        <sz val="12"/>
        <color indexed="10"/>
        <rFont val="Times New Roman"/>
        <family val="1"/>
      </rPr>
      <t xml:space="preserve"> </t>
    </r>
    <r>
      <rPr>
        <i/>
        <sz val="12"/>
        <color indexed="8"/>
        <rFont val="Times New Roman"/>
        <family val="1"/>
      </rPr>
      <t>Chủ đầu tư chưa thu hồi</t>
    </r>
  </si>
  <si>
    <t>Phòng TC-KH</t>
  </si>
  <si>
    <t>Tạm ứng vốn mua XM cấp Thị trấn đầu tư bê tông ĐH 2017 377trđ (năm 2016: 295trđ; năm 2017: 82trđ)</t>
  </si>
  <si>
    <t>Phòng TC-KH: Theo dõi và sử dụng đúng mục đích nguồn CCTL</t>
  </si>
  <si>
    <t>Nguồn CCTL năm trước chuyển sang khi báo cáo với tỉnh chưa bao gồm 76.885.655đ (nguồn CCTL năm 2017 chuyển sang đối với NS cấp xã); Xác định thiếu 40% nguồn thu được để lại tạo nguồn CCTL 21.103.852đ (nguồn thu học phí của các trường học)</t>
  </si>
  <si>
    <t>3.2</t>
  </si>
  <si>
    <t>Gồm: (i) Ghi chi xây dựng Khu phố chợ Cây Sanh xã Tam Dân, hạng mục Chợ Cây Sanh 5.167trđ không đủ cơ sở (không có dự toán thu từ nguồn thu phát sinh từ dự án; không có dự toán chi được cấp có thẩm quyền quyết định; UBND huyện không ban hành văn bản làm cơ sở Ghi thu – Chi chi ngân sách). (ii) Ghi thu ghi chi Công trình xây dựng kết cấu hạ tầng kỹ thuật khu tái định cư phục vụ xây dựng đường Cao tốc Đà Nẵng - Quảng Ngãi 25.863trđ do Trung tâm phát triển quỹ đất đề nghị ghi chi để bù trừ tiền sử dụng đất của một số hộ giải tỏa đường cao tốc, trong đó ghi chi hạng mục khu dân cư – tái định cư chợ lò xã Tam Thái không có các hồ sơ, chứng từ đủ điều kiện xác định là chi phí hợp lý hợp lệ để thực hiện ghi chi ngân sách năm 2018, không có quyết định của cấp có thẩm quyền đồng ý ghi thu ghi chi NS, không có hồ sơ xác định nguồn vốn sẽ bù trừ để xác định ghi thu ngân sách.
Đề nghị địa phương hoàn thiện hồ sơ, thủ tục và quyết toán theo qui định.</t>
  </si>
  <si>
    <t>3.3</t>
  </si>
  <si>
    <t>Phòng Kinh tế - Hạ tầng</t>
  </si>
  <si>
    <t>Giảm chi chuyển nguồn tăng kết dư NS cấp huyện do chuyển nguồn KP sự nghiệp khoa học công nghệ 75trđ; KP sự nghiệp khuyến công 57trđ chưa đúng qui định tại Khoản 3, Điều 64 Luật NSNN (chuyển nguồn KP nghiên cứu khoa học, không chuyển nguồn kinh phí ứng dụng khoa học)</t>
  </si>
  <si>
    <t xml:space="preserve">UBND thị Trấn Đông Phú </t>
  </si>
  <si>
    <t>Đề nghị HTX dịch vụ môi trường Thị trần Đông Phú xuất hóa đơn đồng thời kê khai nộp thuế GTGT theo qui định đối với giá trị hợp đồng thu gom vận chuyển rác sinh hoạt làm cơ sở quyết toán</t>
  </si>
  <si>
    <t>Sở Kế hoạch và Đầu tư</t>
  </si>
  <si>
    <t>5.1</t>
  </si>
  <si>
    <t>Bố trí vốn cho cải tạo, sửa chữa, nâng cấp và mở rộng trụ sở làm việc, tường rào cổng ngõ chưa đúng với quy định</t>
  </si>
  <si>
    <t>Bố trí vốn cho cải tạo, sửa chữa, nâng cấp và mở rộng trụ sở làm việc, tường rào cổng ngõ chưa đúng với quy định của Thông tư số 92/2017/TT-BTC của Bộ Tài chính. Đề nghị Địa phương chấn chỉnh và thực hiện đúng quy định trong việc bố trí vốn đầu tư công theo Luật Đầu tư công và Thông tư trên của BTC, gồm:</t>
  </si>
  <si>
    <t>Nguồn CCTL chuyển mục đích sử dụng</t>
  </si>
  <si>
    <t>Gồm khối tỉnh quản lý 24 dự án với kinh phí 63.069,48trđ, khối huyện quản lý 02 dự án với kinh phí 9.800trđ</t>
  </si>
  <si>
    <t>Sử dụng nguồn XSKT bố trí sai</t>
  </si>
  <si>
    <t>Bố trí vốn cho 08 công trình cải tạo, sửa chữa, nâng cấp và mở rộng tuyến tỉnh</t>
  </si>
  <si>
    <t>Sử dụng vốn đầu tư XDCB trong nước bố trí cho cải tạo, sửa chữa sai nguyên tắc, tiêu chí và định mức quy định</t>
  </si>
  <si>
    <t xml:space="preserve">Do bố trí vốn cho các công trình CT, SC sai quy định và không thuộc nhiệm vụ chi của KHV đầu tư công trung hạn </t>
  </si>
  <si>
    <t>Sử dụng nguồn tăng thu bố trí sai quy định</t>
  </si>
  <si>
    <t>Bố trí vốn cho CT, SC sai quy định</t>
  </si>
  <si>
    <t>5.2</t>
  </si>
  <si>
    <t>KP bổ sung có mục tiêu hỗ trợ nhà ở người có công theo Quyết định số 22/2013/QĐ-TTg cuối năm còn lại chưa phân bổ và chưa sử dụng hết</t>
  </si>
  <si>
    <t>Dự toán chưa phân bổ và chưa giao 57.690trđ của số vốn hỗ trợ nhà ở cho Người có công, do số hộ đã được Bộ LĐTBXH thẩm tra trong danh sách nhưng đến khi phân bổ và giao dự toán chi thì đã chết, đi khỏi địa phương và hưởng các chính sách khác, UBND Tỉnh Quảng Nam đã trình Bộ LĐTBXH nhưng chưa trả lời. Theo quy định tại Khoản 3, Điều 1, Nghị quyết 46/NQ-CP ngày 27/6/2019 của Chính phủ “Đối với các địa phương còn dư thừa kinh phí mà ngân sách trung ương đã cấp để thực hiện hỗ trợ người có công về nhà ở cho giai đoạn 2, Ủy ban nhân dân các tỉnh, thành phố trực thuộc trung ương chỉ đạo các cơ quan chuyên môn thực hiện hoàn trả ngân sách trung ương theo quy định của Luật Ngân sách nhà nước và các văn bản hướng dẫn thi hành.”.  Hơn nữa, Địa phương qua rà soát thì số lượng nhà ở người có công cần hỗ trợ về nhà ở trên địa bàn tỉnh Quảng Nam tăng lên so với đề án tỉnh phê duyệt và Bộ LĐTBXH thẩm tra với số lượng nhà là 11.834 nhà, trong đó xây mới là 3.471 nhà, sửa chữa 8.363 nhà và tỉnh phải cân đối từ nguồn ngân sách địa phương để hỗ trợ cho số lượng nhà phát sinh này. Đề nghị UBND tỉnh báo cáo Trung ương để giữ lại tiếp tục thực hiện, nếu không đồng ý thì nộp trả theo Nghị quyết số 46/NQ-CP nêu trên.</t>
  </si>
  <si>
    <t>Nâng cấp, mở rộng tuyến đường ĐT609: Gói thầu Tây Ái Nghĩa; Gói thầu Km17 + 610,84 - Km19 + 925,26 và Km37 - Km46 + 250</t>
  </si>
  <si>
    <t>Dự án Cải tạo, nâng cấp bệnh viện đa khoa khu vực Quảng Nam</t>
  </si>
  <si>
    <t>Dự án: Nâng cấp bệnh viện nhi thành bệnh viện sản nhi tỉnh Quảng Nam.</t>
  </si>
  <si>
    <t xml:space="preserve">Nâng cấp bệnh viện Nhi thành bệnh viện Sản - Nhi tỉnh Quảng Nam </t>
  </si>
  <si>
    <t>Khu tái định cư phục vụ dự án xây dựng câu Cửa Đại</t>
  </si>
  <si>
    <t>Ban QLDA Xây dựng kết cấu hạ tầng huyện Phú Ninh</t>
  </si>
  <si>
    <t>Gói thầu số 5: Khảo sát và lập thiết kế, dự toán (Hợp phần 01, nhánh 1: Km1+650 -Km7+180); Hợp phần 1, nhánh 2: Km0+1+929</t>
  </si>
  <si>
    <t xml:space="preserve">Mạng lưới thu gom nước thải đấu nối vào hộ dân </t>
  </si>
  <si>
    <t>Hạ tầng đô thị thành phố Hội An</t>
  </si>
  <si>
    <t>Dự án đầu tư xây dựng kết cấu hạ tầng nông thôn, thúc đẩy phát triển kinh tế xã hội xóa đói, giảm nghèo Huyện Phú Ninh, tỉnh Quảng Nam</t>
  </si>
  <si>
    <t>Gói thầu số 15: Thi công xây lắp nhánh 1 (hợp phần 1), Lý trình Km1+650-Km7+180 và nhánh 2 (hợp phần 1) lý trình Km0+00-Km1+929 (địa phận huyện Phú Ninh)</t>
  </si>
  <si>
    <t>Gói thầu số 16: Thi công nhánh 1 (Km7+180 -Km9+660) thuộc hợp phần 1; Nhánh 1 (Km0- Km7+708) thuộc hợp phần 2; Nhánh 2 (Km0- Km2+713) thuộc hợp phần 2</t>
  </si>
  <si>
    <t xml:space="preserve">Gói thầu thi công xây dựng công trình (phần vốn dư) </t>
  </si>
  <si>
    <t>Gói thầu số 4: Tư vấn khảo sát và lập thiết kế BVTC - dự toán (Hợp phần 01: Km0-Km1+650)</t>
  </si>
  <si>
    <t>Gói thầu số 6: Khảo sát và lập thiết kế, dự toán (Hợp phần 01, nhánh 1: Km7+180 -Km9+560); Hợp phần 2, nhánh 1: Km0-Km7+708; Hợp phần 2, nhánh 2: Km0-Km2+713)</t>
  </si>
  <si>
    <t>Gói thầu số 11: Tư vấn giám sát thi công xây dựng gói thầu 15.</t>
  </si>
  <si>
    <t>Gói thầu số 12: Tư vấn giám sát thi công xây dựng gói thầu 16.</t>
  </si>
  <si>
    <t>Thủy Lợi đa mục tiêu khắc phục thiên tai ngập úng vùng sản xuất màu 3 xã huyện Quế Sơn</t>
  </si>
  <si>
    <t>Công trình đường vào Trung tâm xã Hương An</t>
  </si>
  <si>
    <t>Cầu An Phú</t>
  </si>
  <si>
    <t>Khu dân cư chỉnh trang và tái định cư cho các hộ dân thuộc diện di dời tại Khu công nghiệp - Thương mại - dịch vụ đông Quế Sơn</t>
  </si>
  <si>
    <t>Đường giao thông Bình Trung đi Bình Phú</t>
  </si>
  <si>
    <t>Công trình: Trạm bơm Tứ Sơn, huyện Thăng Bình (giai đoạn 2)</t>
  </si>
  <si>
    <t>Công trình: Đường giao thông đi thôn 1 Long Cheng, xã Trà Cang</t>
  </si>
  <si>
    <t>Công trình: Đường giao thông đi thôn 4, xã Trà Dơn</t>
  </si>
  <si>
    <t>Công trình: Đường giao thông thôn 5a đi thôn 6 xã Phước Lộc (Đoạn nối tiếp)</t>
  </si>
  <si>
    <t>Công trình: San lấp mặt bằng sắp xếp Khu dân cư thôn Luông B, xã Phước Kim</t>
  </si>
  <si>
    <t>Công trình: Đường cống thôn 4 xã Phước Hiệp</t>
  </si>
  <si>
    <t>Công trình: Đường vào khu sản xuất quanh hồ Nước Zút xã Phước Năng</t>
  </si>
  <si>
    <t>Công trình: Đường GTNT từ thôn Tống Cói-thôn 2-thôn 3 đến đường xã Ba, xã Tư</t>
  </si>
  <si>
    <t>Công trình: Trường THCS Trần Quý Cáp;  Hạng mục: Nhà hiệu bộ, nhà công vụ, tường rào cổng ngõ sân nền, nhà xe, nhà bảo vệ</t>
  </si>
  <si>
    <t>Công trình: Nâng cấp, mở rộng nước sinh hoạt liên thôn xã A Rooi</t>
  </si>
  <si>
    <t>Công trình: Đường giao thông đi thôn 3, xã Trà Linh</t>
  </si>
  <si>
    <t>Công trình: Đường giao thông đi thôn 3, 4 Trà Vinh</t>
  </si>
  <si>
    <t>Công trình: Đường giao thông đi thôn 3 Trà Don</t>
  </si>
  <si>
    <t>Công trình: Đường GTNT Trà Văn A xã Phước Kim</t>
  </si>
  <si>
    <t>Công trình: Đường GTNT thôn A Liêng-thôn A Rớt, xã A Ting (giai đoạn 2), lý trình: Km1+572-Km2+572,7</t>
  </si>
  <si>
    <t xml:space="preserve"> - Gói thầu: Thi công Xây dựng Trường Mẫu giáo Bình Đào</t>
  </si>
  <si>
    <t xml:space="preserve"> - Gói thầu: Thi công Xây dựng Trường Mẫu giáo Bình Nam</t>
  </si>
  <si>
    <t xml:space="preserve"> - Gói thầu: Thi công Xây dựng Trường Tiểu học Nguyễn Thị Minh Khai 02 phòng - Phân hiệu Phước Long</t>
  </si>
  <si>
    <t xml:space="preserve"> - Gói thầu: Thi công xây dựng Trường Tiểu học Nguyễn Thị Minh Khai - 06 phòng phân hiệu Vân Tiên</t>
  </si>
  <si>
    <t xml:space="preserve"> - Gói thầu: Thi công Xây dựng Trường Hoàng Văn Thụ 02 phòng - Phân hiệu Đông Tác</t>
  </si>
  <si>
    <t xml:space="preserve"> - Gói thầu: Thi công Xây dựng Trường Hoàng Văn Thụ 07 phòng - Phân hiệu Phương Tân</t>
  </si>
  <si>
    <t xml:space="preserve"> - Gói thầu: Trường TH Nguyễn Thị Minh Khai 03 phòng - Phân hiệu Trà Đóa, Xã Bình Đào</t>
  </si>
  <si>
    <t>Gói thầu số 5: Khảo sát và lập thiết kế, dự toán (Hợp phần 01, nhánh 1: Km1+650 -Km7+180); Hợp phần 1, nhánh 2: Km0+1+929 (Điều tra thuỷ văn dọc tuyến địa hình cấp 3 - Thừa khối lượng do đã thực hiện bước dự án đầu tư)</t>
  </si>
  <si>
    <t xml:space="preserve"> Nâng cấp, mở rộng đường ĐT609B (Đoạn từ ngã ba Hoà Đông đến ngã tư Ái Nghĩa), huyện Đại Lộc, tỉnh Quảng Nam</t>
  </si>
  <si>
    <t xml:space="preserve"> Dự án trường THPT Duy Tân, thành phố Tam Kỳ</t>
  </si>
  <si>
    <t xml:space="preserve"> Nâng cấp, mở rộng tuyến đường ĐT609: Gói thầu Tây Ái Nghĩa; Gói thầu Km17 + 610,84 - Km19 + 925,26 và Km37 - Km46 + 250</t>
  </si>
  <si>
    <t>Trạm bơm Tứ Sơn, huyện Thăng Bình (giai đoạn 2) sai định mức lắp đặt ống bê tông ly tâm  đường kính ống d=1000mm</t>
  </si>
  <si>
    <t xml:space="preserve">  - Gói thầu số 14: Thi công xây lắp nhánh 1 (hợp phần 1), Lý trình Km0+00-Km1+540,14 (địa phận thành phố Tam Kỳ)</t>
  </si>
  <si>
    <t>BQLDA Xây dựng kết cấu hạ tầng huyện Phú Ninh (Dự án đầu tư xây dựng kết cấu hạ tầng nông thôn, thúc đẩy phát triển kinh tế xã hội xóa đói, giảm nghèo Huyện Phú Ninh, tỉnh Quảng Nam)</t>
  </si>
  <si>
    <t>Dự án Cải tạo, nâng cấp bệnh viện đa khoa khu vực Quảng Nam - Gói thầu xây dựng hạng mục: Xây mới Khối Khoa ngoại, Khối Khoa cấp cứu - Hồi sức tích cực chống độc, hành lang nối Khoa ngoại với hành lang hiện trạng; Cải tạo tầng 4 Khoa khám; Các hạng mục phụ trợ; cung cấp, lắp đặt thiết bị xây lắp</t>
  </si>
  <si>
    <t>Dự toán, dự thầu, hợp đồng, nghiệm thu quyết toán tính thừa khối lượng Kiên cố hóa Trường lớp học mầm non, tiểu học huyện Thăng Bình (giai đoạn 2017-2020), gồm:</t>
  </si>
  <si>
    <t>(Kèm theo Công văn số                /UBND-KTTH ngày            /01/2019 của UBND tỉnh Quảng Nam)</t>
  </si>
  <si>
    <t>Số tiền kiến nghị</t>
  </si>
  <si>
    <t>Sử dụng kinh phí NSTW để thực hiện làm cụm panô truyền thông thông tin về chính sách giảm nghèo tại 04 (xây dựng các điểm tuyên truyền cố định), chưa đúng nguồn vốn quy định tại Khoản 3 Điều 7 Thông tư 06/2017/TT-BTTTT.</t>
  </si>
  <si>
    <t xml:space="preserve"> Gồm: Cấp tỉnh 69.980trđ (chi tiết phụ biểu số 04.KBNN và cấp huyện 231.042trđ (chi tiết phụ biểu số 05.KBNN).</t>
  </si>
  <si>
    <t>KBNN tỉnh</t>
  </si>
  <si>
    <t>Gồm: cấp tỉnh 228.298trđ (chi tiết phụ biểu số 06.KBNN và cấp huyện 380.168trđ (chi tiết phụ biểu số 07.KBNN).</t>
  </si>
  <si>
    <t>Kèm theo B4.KBNN + B5.KBNN</t>
  </si>
  <si>
    <t>Kèm theo B6.KBNN + B7.KBNN</t>
  </si>
  <si>
    <r>
      <t xml:space="preserve">Cấp KP bằng lệnh chi tiền hỗ trợ cho Công ty TNHH MTV Khai thác thủy lợi Quảng Nam sửa chữa khắc phục các công trình thủy lợi 5.773trđ; Công ty tự phê duyệt dự toán KTKT và tự phê duyệt quyết toán kinh phí sửa chữa; không được cơ quan có thẩm quyền (Sở KH&amp;ĐT) phê duyệt dự toán kinh tế kỹ thuật; không được Sở Tài chính thẩm tra phê duyệt quyết toán dự án hoàn thành theo quy định tại Thông tư số 09/2016/TT-BTC; Thông tư số 92/2017/TT-BTC. </t>
    </r>
    <r>
      <rPr>
        <b/>
        <sz val="12"/>
        <rFont val="Times New Roman"/>
        <family val="1"/>
      </rPr>
      <t>Đề nghị các đơn vị hoàn thiện bổ sung thủ tục quyết toán theo qui định.</t>
    </r>
  </si>
  <si>
    <t>Kết quả thực hiện</t>
  </si>
  <si>
    <t>Còn lại chưa thực hiện</t>
  </si>
  <si>
    <t>So sánh TH/KN (%)</t>
  </si>
  <si>
    <t>Giải trình</t>
  </si>
  <si>
    <t>Đã thực hiện</t>
  </si>
  <si>
    <t>Còn tiếp tục theo dõi</t>
  </si>
  <si>
    <t>Sở KH&amp;ĐT đang hỏi BTC xin không thực hiện</t>
  </si>
  <si>
    <t xml:space="preserve">   Đơn vị tính: Đồng</t>
  </si>
  <si>
    <t>Đvt: Đồng</t>
  </si>
  <si>
    <t>Phụ lục 02-2018</t>
  </si>
  <si>
    <t xml:space="preserve">                              Phụ lục 01-2018</t>
  </si>
  <si>
    <t>Tổng kiến nghị về tài chính</t>
  </si>
  <si>
    <t>B.6</t>
  </si>
  <si>
    <t>ĐP đã nộp trả NS tỉnh, tỉnh đã trả NSTW</t>
  </si>
  <si>
    <t>(Kèm theo Công văn số                /UBND-KTTH ngày            /       /2021 của UBND tỉnh Quảng Nam)</t>
  </si>
  <si>
    <t>Phụ lục số 01-2017</t>
  </si>
  <si>
    <t xml:space="preserve">                                                                                                              Đơn vị tính: đồng</t>
  </si>
  <si>
    <t>Kiến nghị xử lý tài chính</t>
  </si>
  <si>
    <t xml:space="preserve">  - Tiền sử dụng đất</t>
  </si>
  <si>
    <t xml:space="preserve">  - Thuế Tài nguyên</t>
  </si>
  <si>
    <t>IV</t>
  </si>
  <si>
    <t>Giảm thuế GTGT được khấu trừ</t>
  </si>
  <si>
    <t>V</t>
  </si>
  <si>
    <t>Nộp trả quỹ hoàn thuế GTGT</t>
  </si>
  <si>
    <t>Các khoản chi sai chế độ</t>
  </si>
  <si>
    <t>I.1</t>
  </si>
  <si>
    <t>Sở Y tế</t>
  </si>
  <si>
    <t>BC 451/BC-SYT ngày 29/3/2019 (Kèm chứng từ)</t>
  </si>
  <si>
    <t>Bệnh viện Đa khoa Khu vực Quảng Nam</t>
  </si>
  <si>
    <t>Thanh toán vượt giá trị phê duyệt quyết toán tại Công trình sửa chữa chống xuống cấp các khoa, phòng Bệnh viện ĐK khu vực QN</t>
  </si>
  <si>
    <t>Thanh toán giải ngân vượt Tổng mức đầu tư tại Dự án Trung tâm Y tế huyện Thăng Bình</t>
  </si>
  <si>
    <t>Sở Giáo dục và Đào tạo</t>
  </si>
  <si>
    <t>Các dự án công trình tại Sở Giáo dục và Đào tạo</t>
  </si>
  <si>
    <t>Chi tiết Phụ biểu số 02.1</t>
  </si>
  <si>
    <t>Ctu đã cung cấp đoàn Phúc tra</t>
  </si>
  <si>
    <t>Huyện Nông Sơn</t>
  </si>
  <si>
    <t>Phòng Kinh tế hạ tầng</t>
  </si>
  <si>
    <t>Kinh phí Sự nghiệp Khoa học Công nghệ phân bổ cho Phòng Kinh tế hạ tầng để chi quản lý đề tài 39,51trđ không đúng quy định tại điểm a khoản 2 Điều 3 Thông tư số 326/2016/TT-BTC ngày 23/12/2016 (cấp huyện chỉ được chi cho nhiệm vụ ứng dụng, chuyển giao công nghệ).</t>
  </si>
  <si>
    <t>I.2</t>
  </si>
  <si>
    <t>Ban quản lý dự án ĐTXD các công trình giao thông tỉnh Quảng Nam</t>
  </si>
  <si>
    <t>Chi tiết Phụ biểu số 02.2</t>
  </si>
  <si>
    <t xml:space="preserve"> - Dự án Nâng cấp, mở rộng đường ĐT.605 đoạn Km8+800 - Km14+00 (đoạn nối từ cao tốc Đà Nẵng - Quảng Ngãi đến ĐT.609)</t>
  </si>
  <si>
    <t xml:space="preserve"> - Dự án Đường vào trung tâm xã Axan, nối xã Ch'ơm đến cửa khẩu phụ Tây Giang, huyện Tây Giang, tỉnh Quảng Nam (giai đoạn I)</t>
  </si>
  <si>
    <t>Ban QLDA ĐT XD huyện Nông Sơn</t>
  </si>
  <si>
    <t xml:space="preserve">    Dự án Đường từ Cầu treo đến thôn Thạch Bích xã Quế Lâm</t>
  </si>
  <si>
    <t>BC số 133/BC-UBND ngày 03/5/2019 của UBND huyện Nông Sơn (kèm theo chứng từ)</t>
  </si>
  <si>
    <t>Ban QLDA ĐT XD huyện Bắc Trà My</t>
  </si>
  <si>
    <t>BC 70/BC-UBND ngày 14/3/2019 (kèm chứng từ)</t>
  </si>
  <si>
    <t xml:space="preserve"> - Đường giao thông tuyến ĐT616 đến xã Trà Sơn (Cầu và đường hai đầu cầu)</t>
  </si>
  <si>
    <t xml:space="preserve"> - Đường giao thông đến trung tâm xã Trà Kót (Giai đoạn 1)</t>
  </si>
  <si>
    <t xml:space="preserve"> - Cải tạo, nâng cấp đường nội thị Bắc Trà My (Đoạn từ nhà sinh hoạt tổ dân phố đồng Trường I  đến đường Tây thị trấn)</t>
  </si>
  <si>
    <t>Ban QLDA ĐT XD huyện Đông Giang</t>
  </si>
  <si>
    <t xml:space="preserve"> - Đường nối từ thôn A Duông I-A Duông II đến xã A Vương huyện Tây Giang</t>
  </si>
  <si>
    <t xml:space="preserve"> - Dự án Đền bù, san lấp mặt bằng khu thể thao liên hợp</t>
  </si>
  <si>
    <t xml:space="preserve"> - Dự án Đường Zà Hung - A Rooi</t>
  </si>
  <si>
    <t xml:space="preserve"> - Nâng cấp tuyến đường giao thông An Điềm – Ka Dang – A Sờ, huyện Đông Giang</t>
  </si>
  <si>
    <t>BQL CDA ĐT XD TP Tam Kỳ</t>
  </si>
  <si>
    <t>BC 74/BC-UBND ngày 10/4/2019 của TP.Tam Kỳ</t>
  </si>
  <si>
    <t xml:space="preserve"> - Dự án Trường Tiểu học Võ Thị Sáu, thành phố Tam Kỳ</t>
  </si>
  <si>
    <t xml:space="preserve"> - Dự án Đường số 24 và khu dân cư hai bên đường (Nguyễn Du - N10)</t>
  </si>
  <si>
    <t xml:space="preserve"> - Dự án Khu dân cư - Tái định cư đường dẫn vào cầu Kỳ Phú 1&amp;2 (Giai đoạn 2)</t>
  </si>
  <si>
    <t>Ban QLDA ĐT XD huyện Nam Giang</t>
  </si>
  <si>
    <t>Đường giao thông từ Pà Căng đi Pà Dồn</t>
  </si>
  <si>
    <t>Nộp trả NSNN số tiền 201.170.000 đồng</t>
  </si>
  <si>
    <t>Nộp NSNN các khoản phải nộp nhưng chưa nộp (Chi đầu tư)</t>
  </si>
  <si>
    <t>Tổng hợp tại Sở Tài chính</t>
  </si>
  <si>
    <t>Thanh toán vượt giá trị quyết toán.</t>
  </si>
  <si>
    <t>Thanh toán vượt giá trị quyết toán. Chi tiết tại Phụ biểu số 02.4</t>
  </si>
  <si>
    <t xml:space="preserve">Do thanh toán vượt giá trị quyết toán </t>
  </si>
  <si>
    <t>Do thanh toán vượt giá trị quyết toán</t>
  </si>
  <si>
    <t>Cho vay, tạm ứng sai quy định</t>
  </si>
  <si>
    <t>Nộp trả NS cấp trên</t>
  </si>
  <si>
    <t>IV.1</t>
  </si>
  <si>
    <t>Nguồn KPBSCMT còn thừa do sử dụng không hết phải nộp trả theo quy định (Kinh phí hỗ trợ hằng tháng cho CBCC thuộc Đề án 500 14.400trđ; Kinh phí phụ cấp đặc thù cho BCĐ xã Nông thôn mới 257trđ; Trợ cấp hằng tháng cho Thanh niên xung phong (Quyết định 29/2016/QĐ-TTg) 37trđ; KP kỷ niệm 20 năm tái lập tỉnh 3,2trđ; Phân bổ vốn SN CTMTQG NTM năm 2017 9trđ; kinh phí để hỗ trợ nhân dân khắc phục thiệt hại sản xuất nông nghiệp do thiên tai 2016 2,2trđ)</t>
  </si>
  <si>
    <t>Công văn số 104/UBND-TCKH ngày 14/02/2019 (Kèm chứng từ)</t>
  </si>
  <si>
    <t>Nguồn KPBSCMT còn thừa do sử dụng không hết phải nộp trả theo quy định (Ngân sách tỉnh hỗ trợ cho các dự án thừa vốn 134trđ; KP Nghị định 108/CP 3,3trđ; KP Hỗ trợ cán bộ đi học 4,5trđ; KP tập huấn HĐND tỉnh bổ sung, hết nhiệm vụ chi 4,4trđ; Dự án "Tăng cường trợ giúp XH" 15trđ; KP chúc thọ, mừng thọ hết nhiệm vụ chi 3,65trđ; KP CT MTQG 95,4trđ)</t>
  </si>
  <si>
    <t>CV 221/UBND-TCKH ngày 04/4/2019 (Kèm chứng từ)</t>
  </si>
  <si>
    <t>Huyện Núi Thành</t>
  </si>
  <si>
    <t>Nguồn KPBSCMT còn thừa do sử dụng không hết phải nộp trả theo quy định (Kinh phí hỗ trợ trực tiếp cho hộ nghèo theo Quyết định 102/2009/QĐ-TTg 85trđ; KP thực hiện khoán bảo vệ rừng và khoanh nuôi tự nhiên tái sinh rừng 2017 8trđ; kinh phí thực hiện Đề án triển khai NĐ 75/2015/CP về giao khoán bảo vệ rừng và trồng rừng sản xuất 76trđ)</t>
  </si>
  <si>
    <t>Công văn số 83/UBND-TCKH ngày 29/01/2019 (Kèm chứng từ)</t>
  </si>
  <si>
    <t>Nguồn KPBSCMT còn thừa do sử dụng không hết phải nộp trả theo quy định (Hỗ trợ tiền ăn trưa cho trẻ em mầm non 3, 4, 5 tuổi theo QĐ 60/2011/QĐ-TTg và QĐ 239/QĐ-TTg 588,5trr; Chính sách giáo dục cho người khuyết tật theo TTLT 42/2013 32,trđ; Kinh phí thực hiện chính sách tinh giản biên chế theo NĐ 108/2014/CP 113trđ; Trợ cấp hằng tháng cho thanh niên xung phong theo QĐ 29/2016/QĐ-TTg 29,3trđ; Kinh phí hỗ trợ tiền điện hộ nghèo, hộ chính sách 246,7trđ; Kinh phí chi trả chính sách khuyến khích thoát nghèo bền vững giai đoạn 2014-2015 theo QĐ 2813/UB 231,3trđ; Kinh phí chi trả chế độ hưởng lợi từ dự án "Tăng cường hệ thống trợ giúp xã hội VN" cho 03 đối tượng mở rộng 17,8trđ; Hỗ trợ chi phí học tập, miễm giảm học phí theo QĐ 832 52,1trđ; Đề án hỗ trợ nâng cao hiệu quả chăn nuôi nông hộ 153trđ; Kinh phí thực hiện lập hồ sơ khoán bảo vệ rừng và khoanh nuôi tái sinh tự nhiên rừng 3trđ; Kinh phí thực hiện Đề án triển khai NĐ 75/2015/CP về giao khoán bảo vệ rừng và trồng rừng sản xuất 106,8trđ; Mua sắm TTB cơ giới hóa nông nghiệp 70trđ.)</t>
  </si>
  <si>
    <t>Nguồn KPBSCMT còn thừa do sử dụng không hết phải nộp trả theo quy định</t>
  </si>
  <si>
    <t>Huyện Tiên Phước</t>
  </si>
  <si>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611.000.000đ; KP hỗ trợ học bổng, chi phí học tập cho HS, SV khuyết tật 21.460.000đ; Kinh phí mua thẻ BHYT cho các đối tượng BTXH 178.013.150đ; KP đào tạo nghề cho LĐ nông thôn 300.000.000đ; KP phụ cấp, trợ cấp theo NĐ 116/2010/NĐ-CP của Chính phủ 20.614.200đ; Kinh phí hỗ trợ hoạt động văn phòng tư vấn trẻ em 15.000.000đ.
(2) Giảm kết dư và nộp trả NS cấp trên do nguồn của tỉnh bổ sung có mục tiêu đã phân bổ cho các đơn vị, cuối năm hủy dự toán và tồn kết dư 2.756.228.741đ, gồm: Chi đầu tư 2.233.722.001đ và Chi thường xuyên 522.506.740đ</t>
  </si>
  <si>
    <r>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t>
    </r>
    <r>
      <rPr>
        <sz val="12"/>
        <color rgb="FFFF0000"/>
        <rFont val="Times New Roman"/>
        <family val="1"/>
      </rPr>
      <t>611.000.000đ</t>
    </r>
    <r>
      <rPr>
        <sz val="12"/>
        <rFont val="Times New Roman"/>
        <family val="1"/>
      </rPr>
      <t xml:space="preserve">; KP hỗ trợ học bổng, chi phí học tập cho HS, SV khuyết tật </t>
    </r>
    <r>
      <rPr>
        <sz val="12"/>
        <color rgb="FFFF0000"/>
        <rFont val="Times New Roman"/>
        <family val="1"/>
      </rPr>
      <t>21.460.000</t>
    </r>
    <r>
      <rPr>
        <sz val="12"/>
        <rFont val="Times New Roman"/>
        <family val="1"/>
      </rPr>
      <t xml:space="preserve">đ; Kinh phí mua thẻ BHYT cho các đối tượng BTXH </t>
    </r>
    <r>
      <rPr>
        <sz val="12"/>
        <color rgb="FFFF0000"/>
        <rFont val="Times New Roman"/>
        <family val="1"/>
      </rPr>
      <t>178.013.150</t>
    </r>
    <r>
      <rPr>
        <sz val="12"/>
        <rFont val="Times New Roman"/>
        <family val="1"/>
      </rPr>
      <t>đ; KP đào tạo nghề cho LĐ nông thôn 300.000.000đ; KP phụ cấp, trợ cấp theo NĐ 116/2010/NĐ-CP của Chính phủ</t>
    </r>
    <r>
      <rPr>
        <sz val="12"/>
        <color rgb="FFFF0000"/>
        <rFont val="Times New Roman"/>
        <family val="1"/>
      </rPr>
      <t xml:space="preserve"> 20.614.200</t>
    </r>
    <r>
      <rPr>
        <sz val="12"/>
        <rFont val="Times New Roman"/>
        <family val="1"/>
      </rPr>
      <t xml:space="preserve">đ; Kinh phí hỗ trợ hoạt động văn phòng tư vấn trẻ em </t>
    </r>
    <r>
      <rPr>
        <sz val="12"/>
        <color rgb="FFFF0000"/>
        <rFont val="Times New Roman"/>
        <family val="1"/>
      </rPr>
      <t>15.000.000</t>
    </r>
    <r>
      <rPr>
        <sz val="12"/>
        <rFont val="Times New Roman"/>
        <family val="1"/>
      </rPr>
      <t>đ.
(2) Giảm kết dư và nộp trả NS cấp trên do nguồn của tỉnh bổ sung có mục tiêu đã phân bổ cho các đơn vị, cuối năm hủy dự toán và tồn kết dư 2.756.228.741đ, gồm: Chi đầu tư 2.233.722.001đ và Chi thường xuyên 522.506.740đ</t>
    </r>
  </si>
  <si>
    <t>QĐ 3673/QĐ-UBND ngày 28/12/2019 của huyện Tiên Phước</t>
  </si>
  <si>
    <t>Huyện Bắc Trà My (Phòng Nội vụ)</t>
  </si>
  <si>
    <t>Kinh phí đào tạo, bồi dưỡng CB CCVC năm 2017 từ nguồn bổ sung có mục tiêu đã hết nhiệm vụ chi</t>
  </si>
  <si>
    <t>Huyện Nam Giang</t>
  </si>
  <si>
    <t>Nguồn BSCMT còn thừa hết nhiệm vụ chi</t>
  </si>
  <si>
    <t>Đã  nộp trả tỉnh tại Quyết định số 1648/QĐ-UBND ngày 11/10/2018 của UBND huyện Nam Giang</t>
  </si>
  <si>
    <t>9.1</t>
  </si>
  <si>
    <t>Trung tâm Da liễu</t>
  </si>
  <si>
    <t>Tiền vay cho bệnh nhân Phong tàn tật, khó khăn từ Hội cứu trợ Phong do Cộng hòa Liên bang Đức còn lại đã kết thúc dự án và Hội đã không còn hoạt động từ năm 2006</t>
  </si>
  <si>
    <t>IV.2</t>
  </si>
  <si>
    <t>Nộp trả NSTW</t>
  </si>
  <si>
    <t>Ctu Quy 2/2016</t>
  </si>
  <si>
    <t>Ngân sách trung ương bổ sung có mục tiêu</t>
  </si>
  <si>
    <t>STC trả ngày 10/4/2019</t>
  </si>
  <si>
    <t>Nguồn vốn trái phiếu Chính phủ</t>
  </si>
  <si>
    <t>Vốn TPCP năm 2016 về trước không sử dụng hết, trong năm 2017 không thực hiện phân bổ sử dụng nhưng không nộp trả NSTW theo quy định: 10.680 trđ</t>
  </si>
  <si>
    <t>- Vốn trái phiếu chính phủ bố trí cho công trình trung tâm y tế huyện Nông Sơn còn thừa</t>
  </si>
  <si>
    <t>Nguồn vốn TPCP thừa từ năm 2016 về trước, Địa phương chưa nộp trả theo quy định của Luật NSNN và Luật Đầu tư công.</t>
  </si>
  <si>
    <t xml:space="preserve">- Vốn trái phiếu chính phủ bố trí cho công trình đường tránh lũ cứu hộ, cứu nạn khu TTHC huyện từ 2014 đến 2016 còn thừa  </t>
  </si>
  <si>
    <t>… nt …</t>
  </si>
  <si>
    <t>Kinh phí phải giảm dự toán, giảm thanh toán năm sau</t>
  </si>
  <si>
    <t>V.1</t>
  </si>
  <si>
    <t>Đài Phát thanh Truyền hình</t>
  </si>
  <si>
    <t>Kinh phí sự nghiệp hoạt động truyền hình (L250- K253) giảm 35.560.000đ, là khoản chi sai, do dùng nguồn không thường xuyên lo ăn ở cho ê kíp VTV8 truyền hình trực tiếp chương trình chưa đúng theo quy định Khoản 3 Điều 18 Chương I  Luật NSNN 83/2015/QH13.</t>
  </si>
  <si>
    <t>Quyết định số 3950/QĐ-UBND ngày 28/12/2018 của UBND tỉnh</t>
  </si>
  <si>
    <t>Các xã</t>
  </si>
  <si>
    <t>CTMT quốc gia các xã còn thừa (Vốn đầu tư: Chương trình Giảm nghèo bền vững 18,36trđ; Chương trình NTM 82trđ;Vốn sự nghiệp: Chương trình NTM (Vốn sự nghiệp) 94trđ; chương trình giảm nghèo bền vững 174,8trđ)</t>
  </si>
  <si>
    <t>QĐ 9346/QĐ-UBND ngày 20/11/2019 của UBND huyện</t>
  </si>
  <si>
    <t>Kinh phí hoạt động thường xuyên phân bổ đầu năm vượt định mức cho các đơn vị</t>
  </si>
  <si>
    <t xml:space="preserve">Phân bổ kinh phí chi hoạt động (KP tự chủ) vượt mức 20% quỹ lương quy định tại Nghị quyết số 21/2016/NQ-HĐND tỉnh Quảng Nam  </t>
  </si>
  <si>
    <t>Phân bổ kinh phí chi hoạt động (KP tự chủ) vượt mức 20% quỹ lương quy định tại Nghị quyết số 21/2016/NQ-HĐND tỉnh Quảng Nam  (Chi tiết tại Phụ biểu số 01/BBKT-NSĐP)</t>
  </si>
  <si>
    <t>BC số 133/BC-UBND ngày 03/5/2019 của UBND huyện Nông Sơn (QĐ 178/QĐ-UBND ngày 01/3/2019 của UBND huyện Nông Sơn)</t>
  </si>
  <si>
    <t>Kinh phí cấp bổ sung từ nguồn tăng thu, dự phòng không có nhiệm vụ chi</t>
  </si>
  <si>
    <t xml:space="preserve">Cấp kinh phí thường xuyên không có nhiệm vụ, vượt định mức </t>
  </si>
  <si>
    <t>Cấp kinh phí thường xuyên không có nhiệm vụ, vượt định mức  (Chi tiết tại Phụ biểu số 02/BBKT-NSĐP)</t>
  </si>
  <si>
    <t>4.1</t>
  </si>
  <si>
    <t>Các đơn vị trực thuộc Sở Y tế</t>
  </si>
  <si>
    <t>Giảm trừ dự toán NS cấp tỉnh đối với KP tiền lương đã cơ cấu trong giá dịch vụ khám chữa bệnh theo Thông tư liên tịch số 37/2015/TTLT-BYT-BTC ngày 29/10/2015 và Thông tư số 02/2017/TT-BYT ngày 15/3/2017 của Bộ Y tế</t>
  </si>
  <si>
    <t>4.2</t>
  </si>
  <si>
    <t>Chi cục Dân số - Kế hoạch hóa gia đình</t>
  </si>
  <si>
    <t>Kinh phí cấp cho Hội DS - KHHGĐ gia đình để chi khen thưởng thôn, khối phố không sinh con thứ 3, khen thưởng cho họ tộc không sinh con thứ 3 trở lên, các hoạt động chuyên môn liên quan đến công tác DS-KHHGĐ trên địa bàn tỉnh nhưng đơn vị để lại chi toàn bộ cho hoạt động của đơn vị như công tác phí (tập huấn, duyệt quyết toán, họp...) văn phòng phẩm, mua sắm máy móc cho các Trung tâm Dân số KHHGĐ trực thuộc Chi cục</t>
  </si>
  <si>
    <t>QĐ 948/QĐ-UBND ngày 27/3/2019 của UBND tỉnh</t>
  </si>
  <si>
    <t>Quyết định 948/QĐ-UBND ngày 27/3/2019 của UBND tỉnh</t>
  </si>
  <si>
    <t>4.3</t>
  </si>
  <si>
    <t>Trung tâm Y tế huyện Hiệp Đức</t>
  </si>
  <si>
    <t>Kinh phí cấp cho 03 xã không còn thuộc diện khó khăn theo Quyết định số 900/QĐ-TTg  ngày 20/6/2017 của Thủ tướng Chính phủ (Xã Quê Lưu; Thăng Phước và Sông Trà)</t>
  </si>
  <si>
    <t xml:space="preserve"> - Công trình Trường THPT Phan Châu Trinh, hạng mục: Nhà vệ sinh học sinh nam nữ</t>
  </si>
  <si>
    <t xml:space="preserve"> - Công trình Trường THPT Huỳnh Thúc Kháng, hạng mục: Nhà vệ sinh học sinh nam nữ</t>
  </si>
  <si>
    <t>V.2</t>
  </si>
  <si>
    <t xml:space="preserve"> - Đường và công trình tuyến ĐT.610, đoạn nối hai huyện Duy Xuyên – Nông Sơn, lý trình Km25+750 – Km36+410,94 </t>
  </si>
  <si>
    <t xml:space="preserve"> - Nâng cấp, mở rộng tuyến ĐT 607 đoạn Km14+565,62 - Km22+00; giai đoạn 1: Km14+565,62 - Km18+00</t>
  </si>
  <si>
    <t xml:space="preserve"> - Dự án Nâng cấp, mở rộng đường vào Trung tâm du lịch phố cổ Hội An (tuyến ĐT.608 đoạn từ Km4+714,82 - Km7+956,54)</t>
  </si>
  <si>
    <t>Đoàn Phúc tra ghi nhận</t>
  </si>
  <si>
    <t xml:space="preserve"> - Dự án Đường nối từ Đường cứu hộ, cứu nạn đến Quốc Lộ 1A (tại ngã ba Cây Cốc), huyện Thăng Bình, tỉnh Quảng Nam</t>
  </si>
  <si>
    <t>Ban quản lý dự án ĐTXD tỉnh Quảng Nam</t>
  </si>
  <si>
    <t xml:space="preserve"> - Dự án Đường từ Trung tâm hành chính huyện Đại Lộc đi các xã vùng lũ ven sông Vu Gia</t>
  </si>
  <si>
    <t>TB 2776/BC-STC ngày 21/11/2018 của STC</t>
  </si>
  <si>
    <t xml:space="preserve"> - Dự án Đường nối từ đường Điện Biên Phủ đến đường cao tốc Đà Nẵng - Quảng Ngãi</t>
  </si>
  <si>
    <t>Đoàn phúc tra không ghi nhận</t>
  </si>
  <si>
    <t>Hồ sơ nghiệm thu dự án</t>
  </si>
  <si>
    <t>BQL DA ĐT XD TP Tam Kỳ</t>
  </si>
  <si>
    <t>BC 74/BC-UBND ngày 10/4/2019 của TP.Tam Kỳ (nợ chứng từ)</t>
  </si>
  <si>
    <t xml:space="preserve"> - Dự án Khu TĐC phục vụ dự án đường Điện Biên Phủ</t>
  </si>
  <si>
    <t xml:space="preserve"> - Dự án Cải tại vỉa hè Trung tâm Hành chính tỉnh</t>
  </si>
  <si>
    <t>Phòng KT- HT huyện Duy Xuyên</t>
  </si>
  <si>
    <t>Đường ĐH 21.DX</t>
  </si>
  <si>
    <t>Tuyến đường ĐH3.DX</t>
  </si>
  <si>
    <t>Ban QLDA ĐTXD huyện Tiên Phước</t>
  </si>
  <si>
    <t xml:space="preserve"> - Xây dựng, nâng cấp tuyến đường giao thông Tiên Hà - Bình Sơn, huyện Tiên Phước, tỉnh Quảng Nam</t>
  </si>
  <si>
    <t>BC 1253/BC-STC ngay 22/5/2019</t>
  </si>
  <si>
    <t xml:space="preserve"> - Đường tránh lũ, cứu hộ cứu nạn Tiên An - Trà Đông</t>
  </si>
  <si>
    <t xml:space="preserve"> - Đầu tư xây dựng tuyến đường tránh lũ thị trấn Tiên Kỳ và kè chống sạt lở sông Tiên, huyện Tiên Phước, tỉnh Quảng Nam</t>
  </si>
  <si>
    <t xml:space="preserve"> - Đường giao thông vào làng dân tộc Suối Dưa, xã Tiên Lập, huyện Tiên Phước</t>
  </si>
  <si>
    <t xml:space="preserve"> - Dự án Điểm định canh đinh cư tập trung thôn Pà Dồn, xã Cà Dy; Hạng mục: Nền, mặt đường, công trình và san nền (Lý trình: Km0+812,95-Km2+916,36)</t>
  </si>
  <si>
    <t>BC soos 16/BC-TCKH ngaayf 06/11/2018 cuar Phongf TCKH Nam Giang</t>
  </si>
  <si>
    <t xml:space="preserve"> - Đường giao thông khu trung tâm hành chính (mới) huyện Nam Giang (các nhánh tuyến quy hoạch: G7-G37; G9-G32-G40-G6; G45-G46). Giai đoạn I: nhánh tuyến G7-G37, cầu Khe Điêng, khơi dòng cầu Khe Điêng</t>
  </si>
  <si>
    <t>Dự án Khu dân cư số 1 xã Quế Trung, huyện Nông Sơn</t>
  </si>
  <si>
    <t xml:space="preserve"> - Đường giao thông đến trung tâm xã Trà Kót (Giai đoạn 1), gồm HM bổ sung 02 cầu st 19,711,720 trđ + HM Bổ sung gia cố lề, rãnh thoát nước st 10,743647 trđ</t>
  </si>
  <si>
    <t>TB 1650/BC-STC ngày 28/6/2019 của STC</t>
  </si>
  <si>
    <t xml:space="preserve"> - Trụ sở HĐND &amp; UBND huyện Bắc Trà My </t>
  </si>
  <si>
    <t xml:space="preserve"> - Chợ Bắc Trà My</t>
  </si>
  <si>
    <t>TB 1852/BC-STC ngày 18/7/2019 của STC + BC số 3151/BC-STC ngày 25/11/2019 của STC</t>
  </si>
  <si>
    <t xml:space="preserve"> - Nâng cấp tuyến đường Chu Huy Mân đi trường PTDT nội trú Nước Oa</t>
  </si>
  <si>
    <t>Ban QLDA ĐTXD huyện Đông Giang</t>
  </si>
  <si>
    <t xml:space="preserve"> - Điểm định canh định cư thôn Xà Nghìn 2, xã Zà Hung, huyện Đông Giang</t>
  </si>
  <si>
    <t xml:space="preserve"> - Đường GTNT thôn A Liêng- thôn A Rớt xã A Ting (Km0+00- Km 1+572)</t>
  </si>
  <si>
    <t xml:space="preserve"> - Dự án Cầu phía Tây sông A Vương</t>
  </si>
  <si>
    <t>Ban QLDA ĐTXD huyện Duy Xuyên</t>
  </si>
  <si>
    <t>Công trình Kè chống xói lỡ bờ sông thôn Đông Bình, xã Duy Vinh</t>
  </si>
  <si>
    <t>Trung tâm phát triển quỹ đất TP Tam Kỳ</t>
  </si>
  <si>
    <t>Xây dựng kết cấu hạ tầng kỹ thuật Khu dân cư - Tái định cư và nhà ở cho công nhân, người có thu nhập thấp thành phố Tam Kỳ</t>
  </si>
  <si>
    <t>VI</t>
  </si>
  <si>
    <t>Giảm giá trị hợp đồng/trúng thầu</t>
  </si>
  <si>
    <t xml:space="preserve">CP quản lý dự án </t>
  </si>
  <si>
    <t>Dự án Đường nối từ đường Điện Biên Phủ đến đường cao tốc Đà Nẵng - Quảng Ngãi</t>
  </si>
  <si>
    <t>Ban QLDA ĐT XD huyện Tiên Phước</t>
  </si>
  <si>
    <t>Đầu tư xây dựng tuyến đường tránh lũ thị trấn Tiên Kỳ và kè chống sạt lở sông Tiên, huyện Tiên Phước, tỉnh Quảng Nam</t>
  </si>
  <si>
    <t>Lưu Ctu Nam Giang</t>
  </si>
  <si>
    <t xml:space="preserve"> - Đường giao thông đến xã Đăk Pring</t>
  </si>
  <si>
    <t>Ban QLDA ĐT XD TP Tam Kỳ</t>
  </si>
  <si>
    <t>BC 70/BC-UBND ngày 14/3/2019 (no chứng từ)</t>
  </si>
  <si>
    <t xml:space="preserve"> - Khu tái định cư phục vụ dự án đường Điện Biên Phủ</t>
  </si>
  <si>
    <t>VII</t>
  </si>
  <si>
    <t>Xử lý tài chính khác</t>
  </si>
  <si>
    <t>Không đủ điều kiện quyết toán vốn đầu tư</t>
  </si>
  <si>
    <t>Chi tiết Phụ biểu số 02.3</t>
  </si>
  <si>
    <t>1.3</t>
  </si>
  <si>
    <t>Đề nghị Chủ đầu tư thực hiện đánh giá chất lượng hạng mục bê tông mặt đường</t>
  </si>
  <si>
    <t>1.4</t>
  </si>
  <si>
    <t>1.5</t>
  </si>
  <si>
    <t>Hồ sơ thực hiện tại mục V (BQL dụ án TP)</t>
  </si>
  <si>
    <t>1.6</t>
  </si>
  <si>
    <t>1.7</t>
  </si>
  <si>
    <t>1.8</t>
  </si>
  <si>
    <t>1.9</t>
  </si>
  <si>
    <t>Bố trí nguồn hoàn trả Quỹ Bảo trì đường bộ (Kiểm toán tổng hợp tại Sở Tài chính)</t>
  </si>
  <si>
    <t>Địa phương sử dụng quỹ bảo trì đường bộ để xây mới cho 02 công trình xây mới sai chế độ, sai mục đích sử dụng và nội dung chi của quỹ; không tuân thủ nguyên tắc phân bổ kinh phí Quỹ bảo trì đường bộ tại Điều 3 Quyết định số 3603/QĐ-UBND ngày 17/10/2016 của UBND tỉnh Quảng Nam và Điều 7 Nghị định số 18/2012/NĐ-CP ngày 13/3/2012 của Chính phủ, gồm: Sửa chữa, cải tạo cầu Duy Phước – Cẩm Kim và đường giao thông khu vực huyện Duy Xuyên và TP Hội An: 16.783.710.000đ; sửa chữa cải tạo 02 đoạn tuyến nối với đường dẫn đầu cầu Duy Phước - Cẩm Kim: 483.551.000đ. Các công trình được đầu tư xây dựng mới nhưng không thực hiện quản lý theo hình thức đầu tư, nhưng sử dụng KP Quỹ bảo trì đường bộ để thanh quyết toán.</t>
  </si>
  <si>
    <t>Đã có NQ 11/2019 của HĐND tỉnh và QĐ 2677/QĐ-UBND ngày22/8/2019 bố trí nguồn rồi. Tuy nhiên, Sở GTVT chưa lập thủ tục hoàn trả Quỹ Bảo trì đường bộ</t>
  </si>
  <si>
    <t>1. Công văn số 1462/UBND-KTTH ngày 21/3/2019 của UBND tỉnh, chấn chính việc quản lý, sử dụng KHV bảo trì đường bộ đối với Quỹ Bảo trì đường bộ                     2. Công văn số 2375/UBND-KTTH báo cáo PA sử dụng nguồn vượt thu, tiết kiệm chi của UBND tỉnh, có bố trí hoàn trả nguồn này</t>
  </si>
  <si>
    <t>2. Công văn số 2375/UBND-KTTH báo cáo PA sử dụng nguồn vượt thu, tiết kiệm chi của UBND tỉnh, có bố trí hoàn trả nguồn này</t>
  </si>
  <si>
    <t xml:space="preserve">Phụ lục số 02-2017     </t>
  </si>
  <si>
    <t>TỔNG HỢP KẾT QUẢ THỰC HIỆN KIẾN NGHỊ KHÁC TẠI TỈNH QUẢNG NAM</t>
  </si>
  <si>
    <t xml:space="preserve">                                                                                                              Đơn vị tính: Đồng      </t>
  </si>
  <si>
    <t>Kết quả thực hiện (đến 31/3/2021)</t>
  </si>
  <si>
    <t>Còn lại phải thực hiện</t>
  </si>
  <si>
    <t>So Sánh TH/KN (%)</t>
  </si>
  <si>
    <t>TỔNG CỘNG</t>
  </si>
  <si>
    <t>Trích bổ sung và theo dõi đầy đủ nguồn CCTL</t>
  </si>
  <si>
    <t>Địa phương theo dõi chưa đầy đủ nguồn CCTL so với số liệu báo cáo Bộ Tài chính theo văn bản 1595/UBND-KTTH ngày 30/3/2018 là 44.438trđ, cụ thể: Tổng nguồn CCTL 3.803.901trđ, gồm: nguồn 2016 chuyển sang 934.225trđ; Tăng thu 2016 các huyện nộp trả NS tỉnh 557.328trđ; Tăng thu 2016 cấp tỉnh (chuyển nguồn năm trước sang) 1.594.952trđ; Nguồn thu được để lại báo cáo BTC 24.595trđ; 10% đã giao dự toán đầu năm 158.729trđ (cấp tỉnh 14.697trđ; cấp huyện 144.032trđ); 10% tiết kiệm giữ tại NS 534.073trđ. Nhu cầu thực hiện CCTL 496.367trđ; nguồn CCTL chuyển sang 2018 là 3.307.534trđ thiếu 44.438trđ so với số báo cáo BTC (3.351.972trđ)</t>
  </si>
  <si>
    <t>Tổng hợp báo cáo Bộ Tài chính xin ý kiến đối với nguồn CCTL sử dụng cho các chính sách ASXH theo quy định</t>
  </si>
  <si>
    <t>TW chưa trả lời việc sử dụng Nguồn CCTL để thực hiện các chính sách ASXH</t>
  </si>
  <si>
    <t>Thu hồi tạm ứng chưa thu hồi (XDCB)</t>
  </si>
  <si>
    <t>Số dư tạm ứng đến 31/12/2017 chưa thu hồi ; trong đó có 2.666,5trđ đã quá hạn, kéo dài nhiều năm chưa thu hồi</t>
  </si>
  <si>
    <t>Thu hồi tạm ứng chưa thu hồi (CTX)</t>
  </si>
  <si>
    <t>Các khoản tạm ứng ngoài cân đối quyết toán NS năm 2017 do Huyện lập (tạm ứng kinh phí chi thường xuyên không kiểm soát dự toán - MTK 1631 chưa kịp thời thu hồi, có nghĩa là tạm ứng tồn quỹ ngân sách cấp huyện).</t>
  </si>
  <si>
    <t>Tăng nguồn CCTL do KTNN phát hiện tăng thêm</t>
  </si>
  <si>
    <t>Tăng nguồn CCTL do huyện chưa tính đủ 40% nguồn thu được để lại</t>
  </si>
  <si>
    <t>Nguồn CCTL năm 2017 KTNN phát hiện tăng thêm so với thẩm tra của Sở Tài chính</t>
  </si>
  <si>
    <t>Tăng nguồn CCTL do huyện chưa tính 40% nguồn cấp bù học phí tỉnh giao trong năm</t>
  </si>
  <si>
    <t>Thu hồi tạm ứng</t>
  </si>
  <si>
    <t>Chi tiết tại phụ lục số 06/BBKT-NSĐP</t>
  </si>
  <si>
    <t>Bố trí hoàn trả kinh phí sự nghiệp giáo dục</t>
  </si>
  <si>
    <t xml:space="preserve">Huyện điều chỉnh dự toán sự nghiệp giáo dục trong định mức để chuyển sang chi đầu tư phát triển (một phân nguồn 20% sự nghiệp giáo dục giữ lại) </t>
  </si>
  <si>
    <t>Sở Giáo dục Đào tạo</t>
  </si>
  <si>
    <t>Nguồn CCTL do KTNN phát hiện tăng thêm</t>
  </si>
  <si>
    <t>Điều chỉnh quyết toán kinh phí sự nghiệp có tính chất đầu tư</t>
  </si>
  <si>
    <t>Phân bổ quyết toán kinh phí sự nghiệp (kiến thiết thị chính, giao thông; giáo dục) vào quyết toán chi đầu tư XDCB không đúng nhiệm vụ chi</t>
  </si>
  <si>
    <t>Tổng hợp báo cáo Sở Lao động TBXH kinh phí từ dự án nhân rộng mô hình giảm nghèo trên TK 3713 (Phòng TC-KH)</t>
  </si>
  <si>
    <t>Kinh phí thu hồi từ dự án nhân rộng mô hình giảm nghèo phản ánh trên TK tiền gửi tại kho bạc chưa báo cáo Sở LĐTBXH có phương án sử dụng tiếp theo</t>
  </si>
  <si>
    <t>5.3</t>
  </si>
  <si>
    <t xml:space="preserve">Nguồn CCTL năm 2017 KTNN phát hiện tăng thêm </t>
  </si>
  <si>
    <t>6.1</t>
  </si>
  <si>
    <r>
      <t xml:space="preserve">Giảm kết dư, tăng chi chuyển nguồn </t>
    </r>
    <r>
      <rPr>
        <sz val="12"/>
        <color rgb="FFFF0000"/>
        <rFont val="Times New Roman"/>
        <family val="1"/>
      </rPr>
      <t>ngân sách cấp huyện</t>
    </r>
  </si>
  <si>
    <t>(1) Ngân sách cấp xã giảm kết dư tăng chi chuyển nguồn 8.620.356.142đ do các nhiệm vụ chi ĐTXD 2.764.563.800đ và thường xuyên 5.855.792.342đ còn nhiệm vụ nhưng chưa chuyển nguồn (Chi tiết kèm theo Phụ biểu 02/ BBKT-NSĐP).
(2) Ngân sách cấp huyện giảm kết dư tăng chi chuyển nguồn do tỉnh bổ sung có mục tiêu để thực hiện một số chế độ chính sách và nhiệm vụ chi đặc thù của địa phương nhưng chưa triển khai kịp thời trong năm tồn kết dư 8.894.857.005đ, gồm: Kinh phí hỗ trợ tiền ăn trưa cho trẻ 3-5 tuổi 346.400.000đ; Kinh phí phát triển cây trồng găng với KTV-KTTT (Cây tiêu) 1.000.000.000đ; Kinh phí hỗ trợ bảo vệ và phát triển đất trồng lúa 1.597.258.000đ; Kinh phí Đại hội thể dục - thể thao cấp huyện 55.258.000đ; Kinh phí sự nghiệp Đào tạo 494.268.000đ; KP hỗ trợ học sinh theo NĐ 86 (thay thế NĐ 49, 74) 289.098.300đ; KP thực hiện chính sách thoát nghèo bền vững 1.054.049.480đ; BS kinh phí sắp xếp dân cư 2017 số tiền 2.880.000.000đ; KP giao khoán bảo vệ rừng và trồng rừng SX theo NĐ 75/2015 số tiền 1.165.000.000đ. KP tỉnh cấp lại tiền SDĐ, thuê đất nộp một lần 13.525.225đ.</t>
  </si>
  <si>
    <t>6.2</t>
  </si>
  <si>
    <r>
      <t>Ghi thu - Ghi chi vào NS</t>
    </r>
    <r>
      <rPr>
        <sz val="12"/>
        <color rgb="FFFF0000"/>
        <rFont val="Times New Roman"/>
        <family val="1"/>
      </rPr>
      <t>ĐP</t>
    </r>
  </si>
  <si>
    <t>Ghi thu-ghi chi NS năm 2017 là 5.400trđ của nguồn tài trợ cho 03 công trình trường mẫu giáo (do Ban QLDA ĐTXD huyện thực hiện).</t>
  </si>
  <si>
    <t>6.3</t>
  </si>
  <si>
    <t>Thu hồi tạm ứng của nhiều năm trước không phát sinh khối lượng thực hiện</t>
  </si>
  <si>
    <t>Số dư tạm ứng vốn đầu tư XDCB của các năm trước không phát sinh khối lượng do dừng dự án hoặc dự án chưa đủ quyết toán kinh phí còn thừa không thực hiện 7.851trđ, gồm:
(1)  BQLDA đầu tư XD huyện Tiên Phước 7.157trđ;
(2) UBND xã Tiên Phong huyện Tiên Phước 44,6trđ;
(3) Phòng Tài chính- Kế hoạch 50,5trđ;
(4) Phòng Giáo dục - Đào tạo 600trđ.
 (chi tiết hạng mục công trình tại Phụ biểu 04/BBKT-NSĐP)</t>
  </si>
  <si>
    <t>6.4</t>
  </si>
  <si>
    <t>Thu hồi tạm ứng của nhiều năm trước không phát sinh nhiệm vụ</t>
  </si>
  <si>
    <t>Số dư tạm ứng Lệnh chi tiền cuối năm 605trđ của 04 đơn vị từ năm 2003 chưa thu hồi gồm: Ban QLDA ĐTXD 277,7trđ; Hạt kiểm lâm 57trđ; Phòng Nông nghiệp và PTNT 70trđ và Hội khuyến học 200trđ.</t>
  </si>
  <si>
    <t>7.1</t>
  </si>
  <si>
    <t>Các đơn vị trực thuộc Sở Y tế: Các khoản BHXH xuất toán không rõ nguyên nhân</t>
  </si>
  <si>
    <t xml:space="preserve">Kinh phí tiền lương cơ cấu trong giá dịch vụ khám chữa bệnh nhưng BHXH không chấp nhận thanh toán nhưng không giải thích rõ nguyên nhân. Đề nghị Sở Y tế phối hợp với BHXH xác định rõ nguyên nhân xuất toán để đề xuất xử lý </t>
  </si>
  <si>
    <t>7.2</t>
  </si>
  <si>
    <t>Sở Y tế thu hồi tạm ứng</t>
  </si>
  <si>
    <t>Tạm ứng kinh phí chi XDCB chưa thu hồi</t>
  </si>
  <si>
    <t>7.3</t>
  </si>
  <si>
    <t>Ngân sách tỉnh</t>
  </si>
  <si>
    <t>Bố trí nguồn kinh phí sự nghiệp khoa học hoàn trả KP sự nghiệp y tế</t>
  </si>
  <si>
    <t>7.4</t>
  </si>
  <si>
    <t>Tăng nguồn CCTL do chưa tính đủ 35,40% nguồn thu được để lại</t>
  </si>
  <si>
    <t>Đài Phát thanh truyền hình</t>
  </si>
  <si>
    <t>Kiến nghị giảm lỗ năm 2017</t>
  </si>
  <si>
    <t xml:space="preserve">Cty TNHH Đầu tư Hừng Đông </t>
  </si>
  <si>
    <t>Các đơn vị khác</t>
  </si>
  <si>
    <t>Thu hồi tạm ứng kéo dài qua nhiều năm chưa thu hồi</t>
  </si>
  <si>
    <t>(Kèm theo Công văn số                /UBND-KTTH ngày            /.../2021 của UBND tỉnh Quảng Nam)</t>
  </si>
  <si>
    <t xml:space="preserve">Phụ lục 01-2016      </t>
  </si>
  <si>
    <t>BÁO CÁO KẾT QUẢ THỰC HIỆN KIẾN NGHỊ CỦA KIỂM TOÁN NGÂN SÁCH NHÀ NƯỚC NĂM 2016</t>
  </si>
  <si>
    <t>(Số liệu đến ngày 31/03/2021)</t>
  </si>
  <si>
    <t>Đơn vị tính: đồng</t>
  </si>
  <si>
    <t>Đơn vị</t>
  </si>
  <si>
    <t>Số tiền KTNN 
kiến nghị</t>
  </si>
  <si>
    <t>Số đã thực hiện</t>
  </si>
  <si>
    <t>Số còn lại 
tiếp tục 
thực hiện</t>
  </si>
  <si>
    <t>So sánh 
TH/KN (%)</t>
  </si>
  <si>
    <t xml:space="preserve">Ghi chú </t>
  </si>
  <si>
    <t>Mục 1</t>
  </si>
  <si>
    <t>Báo cáo KTNN ngân sách tỉnh Quảng Năm 2016</t>
  </si>
  <si>
    <t>PHẦN I. KIẾN NGHỊ VỀ TÀI CHÍNH</t>
  </si>
  <si>
    <t>CÁC KHOẢN TĂNG THU (TẠI CỤC THUẾ)</t>
  </si>
  <si>
    <t>TĂNG THU NGÂN SÁCH</t>
  </si>
  <si>
    <t>Thuế giá trị gia tăng</t>
  </si>
  <si>
    <t>Số KTNN kiến nghị tại Cục Thuế (TB số 485/TB-KVIII: 9.912.849.323đ) nhỏ hơn số KTNN kiến nghị Tổng hợp (CV 568/KTNN-TH: 10.025.706.690đ), không thuộc nhiệm vụ chi của Cục Thuế (phát sinh tại Đà Nẵng và HN), nên Cục Thuế không thực hiện</t>
  </si>
  <si>
    <t>Thuế thu nhập doanh nghiệp</t>
  </si>
  <si>
    <t>Cty TNHH MTV Phước Thịnh là khoản ưu đãi vượt trội UBND tỉnh thông báo số 178/TB-UBND ngày 31/5/2018 chưa xử lý</t>
  </si>
  <si>
    <t>Thuế tài nguyên</t>
  </si>
  <si>
    <t>Phí BVMT</t>
  </si>
  <si>
    <t>Giảm VAT được khấu trừ</t>
  </si>
  <si>
    <t>TĂNG THU KHÁC NGÂN SÁCH</t>
  </si>
  <si>
    <t>Tiền sử dụng đất</t>
  </si>
  <si>
    <t>Tiền thuê đất</t>
  </si>
  <si>
    <t>CÁC KHOẢN THU HỒI VÀ GIẢM CHI NSNN</t>
  </si>
  <si>
    <t>Thu hồi nộp NS các khoản chi sai quy định</t>
  </si>
  <si>
    <t>Khối tỉnh</t>
  </si>
  <si>
    <t>Sở Nội vụ</t>
  </si>
  <si>
    <t xml:space="preserve">Chi phục vụ thi tuyển công chức năm 2016 không đúng tính chất nguồn kinh phí (39,5trđ); thanh toán tiền làm thêm giờ không đúng tính chất nguồn kinh phí (47,7trđ)  </t>
  </si>
  <si>
    <t>Khối huyện</t>
  </si>
  <si>
    <t>TX Điện Bàn (BQL PTĐT mới Điện Nam - Điện Ngọc)</t>
  </si>
  <si>
    <t>Đường trục chính đô thị mới Điện Nam- Điện Ngọc (ĐT 603 nối dài: Km0+00-Km0+400)</t>
  </si>
  <si>
    <t>Dự án: Sân vận động trung tâm huyện Phú Ninh (giai đoạn 1)</t>
  </si>
  <si>
    <t>Công trình nâng cấp mạng lưới đường giao thông nội thị, thị trấn Khâm Đức, huyện Phước Sơn (tuyến đường nguyễn Duy Hiệu và  đường trục 29)</t>
  </si>
  <si>
    <t>Công trình Nâng cấp Nhà làm việc  Huyện ủy huyện Phước Sơn</t>
  </si>
  <si>
    <t>Nhà làm việc HĐND&amp;UBND huyện Núi Thành</t>
  </si>
  <si>
    <t>TP Tam Kỳ</t>
  </si>
  <si>
    <t>Đường trục chính KCN Thuận Yên (N40- G10)</t>
  </si>
  <si>
    <t>Các khoản phải nộp ở tài khoản tạm giữ nhưng chưa nộp</t>
  </si>
  <si>
    <t>Các khoản chưa xử lý nộp NSNN trên tài khoản tạm thu, tạm giữ</t>
  </si>
  <si>
    <t>Thu hồi cho vay, tạm ứng  sai quy định</t>
  </si>
  <si>
    <t>Ngân sách tỉnh tạm ứng thực hiện chính sách hỗ trợ nhà ở cho đối tượng chính sách theo Quyết định 22 vượt so với nhu cầu của huyện</t>
  </si>
  <si>
    <t>Thu hồi kinh phí thừa hết nhiệm vụ chi</t>
  </si>
  <si>
    <t>a)</t>
  </si>
  <si>
    <t xml:space="preserve">  - Nguồn còn thừa qua nhiều năm tại NS tỉnh, nguồn các đơn vị thừa nộp trả nhưng  tỉnh chưa trả TW </t>
  </si>
  <si>
    <t xml:space="preserve">  - Một số nhiệm vụ đã hết nhiệm vụ hoàn trả TW  </t>
  </si>
  <si>
    <t>b)</t>
  </si>
  <si>
    <t>Các huyện lập thủ tục nộp trả ngân sách tỉnh để Sở Tài chính lập thủ tục nộp trả ngân sách Trung ương</t>
  </si>
  <si>
    <t>KP hỗ trợ học sinh PTTH vùng ĐBKK theo QĐ 12 của TTCP số tiền (cân đối trong NĐ số 116/2016/NĐ-CP)</t>
  </si>
  <si>
    <t xml:space="preserve">Kinh phí thừa hết nhiệm vụ chi chưa thu hồi nộp NSTW: Nguồn tạm dừng không được phép chi theo NQ 11 </t>
  </si>
  <si>
    <t>Huyện Tây Giang</t>
  </si>
  <si>
    <t xml:space="preserve">Chương trình đảm bảo chất lượng giáo dục Seqap </t>
  </si>
  <si>
    <t>Kinh phí Trung ương từ các năm trước của Chương trình ATK (348.725.000đ) và Kinh phí theo Nghị quyết 30a (858.000đ); Kinh phí theo Quyết định 33/QĐ-TTg hết nhiệm vụ chi (10.728.000đ)</t>
  </si>
  <si>
    <t>Nộp trả Ngân sách tỉnh</t>
  </si>
  <si>
    <t>Liên đoàn lao động tỉnh</t>
  </si>
  <si>
    <t>Kinh phí cấp bằng Lệnh chi tiền chưa sử dụng</t>
  </si>
  <si>
    <t>Nguồn bổ sung mục tiêu hết nhiệm vụ chi (Kinh phí hỗ trợ hộ nghèo xây dựng nhà ở phòng, tránh bão lụt )</t>
  </si>
  <si>
    <t>Nguồn bổ sung mục tiêu hết nhiệm vụ chi (kinh phí cấp giấy chứng nhận quyền sử dụng đất lần đầu 124 tr.đ; Kinh phí thực hiện kiểm kê đất đai và lập bản đồ hiện trạng sử dụng đất 2 tr.đ)</t>
  </si>
  <si>
    <r>
      <t>Nguồn bổ sung mục tiêu hết nhiệm vụ chi (Kinh phí hỗ trợ học sinh PTTH vùng ĐBKK theo QĐ 12/2013/QĐ-TTg hết nhiệm vụ chi 171 tr.đ</t>
    </r>
    <r>
      <rPr>
        <u/>
        <sz val="12"/>
        <rFont val="Times New Roman"/>
        <family val="1"/>
      </rPr>
      <t>;</t>
    </r>
    <r>
      <rPr>
        <sz val="12"/>
        <rFont val="Times New Roman"/>
        <family val="1"/>
      </rPr>
      <t xml:space="preserve"> Kinh phí hỗ trợ tiền điện cho hộ nghèo, đối tượng chính sách thừa 675,9trđ; Kinh phí thực hiện Nghị định 86 thừa 145,8trđ; Kinh phí thực hiện chính sách đối với người khuyết tật thừa 256trđ.)</t>
    </r>
  </si>
  <si>
    <t>Nguồn NS tỉnh hỗ trợ còn thừa 7.031.000đ; kinh phí phụ cấp kiêm nhiệm cho CB làm công tác lâm nghiệp đã hết nhiệm vụ chi 80.000đ và kinh phí chi trả cho cán bộ trực tiếp chi Bảo trợ xã hội đã hết nhiệm vụ chi 40.843.000đ</t>
  </si>
  <si>
    <t>Kinh phí còn tồn hết nhiệm vụ chi nộp NS tỉnh: Tam Hiệp 14,4trđ; Tam Nghĩa 38,2trđ; Tam Hòa 1.184,3trđ; Tam Anh Bắc 3,4trđ; Tam Tiến 209trđ; Tam Quang 12trđ; Tam Thạnh 40,8trđ; Tam Anh Nam 52trđ; Tam Giang 17,6trđ; Tam Trà 51,6trđ.</t>
  </si>
  <si>
    <t>Nộp trả Ngân sách huyện</t>
  </si>
  <si>
    <t>Các xã: Tam Hiệp 419trđ; Tam Nghĩa 58,7trđ; Tam Hòa 238trđ; Tam Anh Bắc 66trđ; Tam Mỹ Tây 229trđ; Tam Tiến 1.298trđ; Tam Xuân 1 là 142trđ; Tam Quang 18,3trđ; Tam Thạnh 21,7trđ; Tam Sơn 127trđ; Tam Giang 8,3trđ; Tam Xuân 2 là 118trđ và Tam Trà 96,4trđ.</t>
  </si>
  <si>
    <t>Các xã, phường: Phường An Sơn 29trđ; Phường Phước Hòa 7,9trđ; Phường An Xuân 2,5trđ; Phường Trường Xuân 1,6trđ;  Phường An Phú 28,9trđ; Xã Tam Phú 12,9trđ; Phường Hòa Hương  10,5trđ và Xã Tam Thăng 102trđ</t>
  </si>
  <si>
    <t xml:space="preserve">KP thực hiện Nghị định 67,13/CP về chính sách trợ giúp các đối tượng bão trợ xã hội 101.956.000đ </t>
  </si>
  <si>
    <t>Chi XDCB (Nộp trả ngân sách Trung ương số dư KH vốn hết thời hạn giải ngân)</t>
  </si>
  <si>
    <t>(i) Số dư KHV từ 2010-2015 hết thời hạn giải ngân 23.731,6trđ; (ii) Số dư KHV năm 2015 kéo dài sang năm 2016 hết thời hạn giải ngân 8.827,2trđ</t>
  </si>
  <si>
    <t xml:space="preserve">(i) Số dư KHV từ 2010-2015 hết thời hạn giải ngân. Trong đó vốn CTMTQG 6.322,4trđ; CTMT, vốn Bổ sung có mục tiêu 7.903,8trđ (Trong đó: DA đường cứu hộ và kè chống sạt lở sông La Ngà tại huyện Phú Ninh 3.567,6trđ). </t>
  </si>
  <si>
    <r>
      <t xml:space="preserve">Huyện Phước Sơn </t>
    </r>
    <r>
      <rPr>
        <b/>
        <sz val="12"/>
        <rFont val="Times New Roman"/>
        <family val="1"/>
      </rPr>
      <t>(vốn TPCP)</t>
    </r>
    <r>
      <rPr>
        <sz val="12"/>
        <rFont val="Times New Roman"/>
        <family val="1"/>
      </rPr>
      <t xml:space="preserve"> đã được phê duyệt quyết toán công trình hoàn thành trong năm 2016, không còn nợ khối lượng của các nhà thầu nhưng chưa rà soát để hoàn trả mà chuyển nguồn vốn sang năm 2016 (Công trình Đường Giao thông vào xã Phước Công –Phước Lộc 5.147trđ, Công trình Đường Giao thông Phước Chánh -Phước Kim – Phước Thành  682trđ; Công trình Bệnh viện Đa Khoa Phước Sơn 676trđ)</t>
    </r>
  </si>
  <si>
    <t>Giảm dự toán, giảm thanh toán năm sau</t>
  </si>
  <si>
    <t>Ngân sách cấp tỉnh</t>
  </si>
  <si>
    <t xml:space="preserve">  - Giảm cấp phát nguồn CCTL đối với các huyện, các đơn vị</t>
  </si>
  <si>
    <t>2 huyện thừa nguồn CCTL so với nhu cầu: Quế Sơn 1.929 triệu đồng, Bắc Trà My 15.262 triệu đồng; 40% thu sự nghiệp 1.688 triệu đồng nhưng chưa cân đối đầu năm 2017: Hội An 527 triệu đồng, Duy Xuyên 86 triệu đồng, Quế Sơn 67 triệu đồng, Thăng Bình 931 triệu đồng, Hiệp Đức 77 triệu đồng</t>
  </si>
  <si>
    <t>Huyện Tiên Phước: Nguồn CCTL từ năm 2015 về trước còn thừa tại ngân sách cấp huyện, các đơn vị dự toán tại huyện.</t>
  </si>
  <si>
    <t>Thành phố Tam Kỳ</t>
  </si>
  <si>
    <t xml:space="preserve"> Huyện Tây Giang</t>
  </si>
  <si>
    <t xml:space="preserve">  - Giảm cấp phát đối với nguồn bổ sung có mục tiêu thực hiện nhiệm vụ</t>
  </si>
  <si>
    <t>Huyện Duy Xuyên: Kinh phí thực hiện NĐ 86/2015/NĐ-CP (thay thế NĐ 49 - NĐ 74) 1.722.695.000đ; Kinh phí thực hiện dự án "Tăng cường hệ thống trợ giúp xã hội Việt Nam" 59.100.000đ; Hỗ trợ tiền ăn trưa cho trẻ em mầm non 3, 4, 5 tuổi theo QĐ 60/2011/QĐ-TTg và QĐ 239/QĐ-TTg 1.149.720.000đ</t>
  </si>
  <si>
    <r>
      <t xml:space="preserve">Huyện Phú Ninh: KP sự nghiệp còn dư chưa phân bổ của dự án Tăng cường HTTG XH VN gồm: Kinh phí phụ nữ mang thai hộ nghèo 125trđ, trẻ em từ 0 - 3 tuổi thuộc hộ nghèo 175trđ, trẻ em từ 3 -15 tuổi thuộc hộ nghèo không đi học 89trđ, trợ cấp hằng tháng cho TNXP </t>
    </r>
    <r>
      <rPr>
        <b/>
        <sz val="12"/>
        <rFont val="Times New Roman"/>
        <family val="1"/>
      </rPr>
      <t>255</t>
    </r>
    <r>
      <rPr>
        <sz val="12"/>
        <rFont val="Times New Roman"/>
        <family val="1"/>
      </rPr>
      <t>trđ;</t>
    </r>
  </si>
  <si>
    <t>Huyện Phước Sơn: Nguồn KP thực hiện chế độ hỗ trợ chi phí học tập theo NĐ số 86/2016/NĐ-CP của Chính phủ còn thừa tính đến tháng 5/2017 đã hết nhiệm vụ chi (đơn vị đã thanh toán dứt điểm cho các đối tượng cho năm học 2015-2016 và 2016-2017) là 697trđ.
Ban Quản lý dự án trồng rừng: Kinh phí thực hiện lập hồ sơ khoán bảo vệ rừng và khoanh nuôi tái sinh tự nhiên rừng từ năm 2015 còn thừa, năm 2016 không sử dụng, chuyển sang 2017 là 708trđ.</t>
  </si>
  <si>
    <t>Huyện Tây Giang: Kinh phí Chương trình mục tiêu quốc gia còn tồn và đã hết nhiệm vụ chi năm 2016 chưa thực hiện nộp trả NSTW của Chương trình đào tạo nghề lao động nông thôn 25,6đ nhưng còn thực hiện các năm sau;
- Nguồn bổ sung có mục tiêu đã hết nhiệm vụ chi: Kinh phí chi hỗ trợ và phụ cấp cho người làm công tác tổ chức phổ cập giáo dục mầm non, tiểu học, trung học cơ sở, xóa mù chữ 15,9trđ;  Kinh phí chi trả phụ cấp cho cán bộ quản lý chế độ BTXH theo NĐ 67, 13 và phụ cấp kiêm nhiệm công tác xóa đói giảm nghèo 35,6trđ; 
- Kinh phí chương trình mục tiêu quốc gia (Chương trình 30a, Chương trình 135) còn tồn và đã hết nhiệm vụ chi được chuyển nguồn sang 2017 số tiền 993,9trđ.</t>
  </si>
  <si>
    <t xml:space="preserve">Huyện Núi Thành: Kinh phí đã hết nhiệm vụ chi năm 2016 nhưng chính sách này đang còn thực hiện ở các năm tiếp theo, dự toán cấp kinh phí năm 2017 chưa cân đối kinh phí thừa năm 2016 chuyển sang dẫn đến sau khi đảm bảo nhu cầu 2017 vẫn còn thừa với số tiền 3.364,2trđ;
</t>
  </si>
  <si>
    <t>Phòng Giáo dục 123trđ; Trung tâm VHTT 73trđ ; Đài phát thanh 53 tr.đ</t>
  </si>
  <si>
    <t>Các Phòng ban thuộc huyện do chưa tính trừ 20% nguồn CCTL bổ sung dự toán trong năm 2016</t>
  </si>
  <si>
    <t>Ban quản lý dự án Hạ tầng (BQL KKTM Chu Lai)</t>
  </si>
  <si>
    <t>Dự án kết cấu hạ tầng kỹ thuật Khu TĐC Trung tâm xã Bình Dương, huyện Thăng Bình (giai đoạn 1)</t>
  </si>
  <si>
    <t>Dự án Phòng chống lụt bão, đường cứu hộ, cứu nạn huyện Thăng Bình</t>
  </si>
  <si>
    <t>Đợi phê duyệt QT</t>
  </si>
  <si>
    <t>Đường trục chính vào Khu công nghiệp Tam Thăng</t>
  </si>
  <si>
    <t>Ban quản lý dự án ĐTXD Tỉnh</t>
  </si>
  <si>
    <t>Kè bảo vệ khu đô thị cổ Hội An đoạn từ Chùa Cầu đến cầu Cẩm Nam</t>
  </si>
  <si>
    <t>Dự án Nâng cấp, mở rộng tuyến đường ĐT 609 (Đoạn từ Km8+360 - Km13+600)</t>
  </si>
  <si>
    <t>Cầu Giao Thủy, tỉnh Quảng Nam</t>
  </si>
  <si>
    <t>Công trình Đường bao thị trấn Khâm Đức (GĐ2)</t>
  </si>
  <si>
    <t>Công trình nâng cấp mạng lưới đường giao thông nội thị, thị trấn Khâm Đức, huyện Phước Sơn (tuyến đường nguyễn Duy Hiệu và đường trục 29)</t>
  </si>
  <si>
    <t>Gói thầu xây lắp: Đường giao thông nông thôn từ thôn Batư đi thôn Arui, xã Dang, hạng mục: Nền đường và cống ngầm rọ đá, lý trình Km0+00  – Km6+91,55</t>
  </si>
  <si>
    <t>Cầu Tam Hòa</t>
  </si>
  <si>
    <t>Công trình Cải tạo, nâng cấp chợ Tam Kỳ</t>
  </si>
  <si>
    <t>Nâng cấp mở rộng đường Tam Kỳ - Tam Thanh</t>
  </si>
  <si>
    <t>Các HM công trình chưa QT nên chưa thực hiện</t>
  </si>
  <si>
    <t>Công trình Khu dân cư Đông Tân Thạnh</t>
  </si>
  <si>
    <t>Đường trục chính KCN Thuận Yên</t>
  </si>
  <si>
    <t>Hạ tầng KDL sinh thái và bãi tắm Hạ Thanh</t>
  </si>
  <si>
    <t>Dự án Đường GTNT thôn 2-3 Trà Linh (giai đoạn 1)</t>
  </si>
  <si>
    <t>Dự án Đường ô tô đến TT xã Trà Tập</t>
  </si>
  <si>
    <t xml:space="preserve">Dự án nâng cấp đường thôn 1 đi thôn 2 xã Trà Vinh </t>
  </si>
  <si>
    <t xml:space="preserve">Dự án nâng cấp đường thôn 3 xã Trà Tập </t>
  </si>
  <si>
    <t>Dự án đường từ thôn 4 xã Trà Vinh đi nóc ông Phong</t>
  </si>
  <si>
    <t>Dự án Nghĩa trang liệt sỹ huyện Nam Trà My</t>
  </si>
  <si>
    <t>Giảm giá trị trúng thầu (hợp đồng) XDCB</t>
  </si>
  <si>
    <t>Ban QLDA ĐTXD Tỉnh</t>
  </si>
  <si>
    <t>Ban QLDA Hạ tầng (thuộc BQL Khu KTM Chu Lai)</t>
  </si>
  <si>
    <t>Số còn lại, sẽ giảm từ khi QT DA hoàn thành</t>
  </si>
  <si>
    <t>Gói thầu xây lắp số 01: Nâng cấp đường A tiêng - Dang, huyện Tây Giang, hạng mục: Móng, mặt đường và công trình đoạn Km4+800-Km16+400.</t>
  </si>
  <si>
    <t>Dự án: Kết cấu hạ tầng cụm công nghiệp chợ Lò, huyện Phú Ninh</t>
  </si>
  <si>
    <t>Không đủ điều kiện quyết toán (XDCB)</t>
  </si>
  <si>
    <t>Tp Tam Kỳ</t>
  </si>
  <si>
    <t>VIII</t>
  </si>
  <si>
    <t>Giảm quyết toán thu - giảm quyết toán chi</t>
  </si>
  <si>
    <t xml:space="preserve">Ghi thu ngân sách tỉnh tiền thuế thu nhập doanh nghiệp và tiền thuê đất cho 09 DN số tiền 109.393trđ (thuế TNDN 88.623trđ, tiền thuê đất 20.770trđ), ghi chi hỗ trợ cho các DN ưu đãi đầu tư từ ngày 31/5/2005 trở về trước.(ưu đãi vượt trội) </t>
  </si>
  <si>
    <t xml:space="preserve"> - NQ số 28/NQ-HĐND ngày 28/9/2018 điều chỉnh QTNSNN 2016 còn số tiền 101,078.830.143 tỷ đồng
 - UBND tỉnh đã có Tờ trình 2939 ngày 05/6/2018 trình TTCP xử lý các khoản ưu đãi vượt trội, nhưng CP chưa có ý kiến</t>
  </si>
  <si>
    <t xml:space="preserve">TX Điện Bàn </t>
  </si>
  <si>
    <t>Ghi thu tiền sử dụng đất, ghi chi ngân sách khối lượng các hạng mục công trình tại Dự án Khu dân cư phố chợ Vĩnh Điện năm 2016 của Công ty công ty Cổ phần đầu tư và Xây dựng 501 số tiền 9.786.490.000đ, đã quyết toán vào thu, chi ngân sách huyện năm 2016 nhưng chưa được thẩm tra khối lượng hoàn thành để có căn cứ ghi thu, ghi chi ngân sách.</t>
  </si>
  <si>
    <t>PHẦN II. KIẾN NGHỊ KHÁC</t>
  </si>
  <si>
    <t>Kiến nghị xử lý khác</t>
  </si>
  <si>
    <t>Theo dõi và thu hồi tạm ứng</t>
  </si>
  <si>
    <t>TW bố trí vốn để thu hồi tạm ứng, ứng trước</t>
  </si>
  <si>
    <t>Thu hồi ứng trước</t>
  </si>
  <si>
    <t>Thu hồi tạm ứng NS tỉnh đối với các khoản tạm ứng từ nhiều năm trước kéo dài tại Sở Tài chính</t>
  </si>
  <si>
    <t>Cty CP Vật tư NN 2.454 tr.đ đã hoàn tất thủ tục phá sản và bố trí thu hồi ứng STC 23,670 tr.đ</t>
  </si>
  <si>
    <t>Thu hồi tạm ứng cho các dự án từ năm 2004 đến 2010 quá hạn chưa thu hồi qua kiểm toán tại Sở Tài chính</t>
  </si>
  <si>
    <t>Thu hồi tạm ứng quá hạn của các đơn vị, địa phương</t>
  </si>
  <si>
    <t>BQL Khu kinh tế mở Chu Lai</t>
  </si>
  <si>
    <t>Ngân sách tỉnh tạm ứng dự án Khu Tái định cư Duy Hải</t>
  </si>
  <si>
    <t>Báo cáo số 43/BC-KTM ngày 29/3/2019 của BQL Khu KTM Chu Lai</t>
  </si>
  <si>
    <t xml:space="preserve">Huyện Duy Xuyên </t>
  </si>
  <si>
    <t>Tạm ứng từ năm 2007 nhưng chưa hoàn tất thủ tục hồ sơ hoàn tạm ứng.</t>
  </si>
  <si>
    <t>Huyện tạm ứng cho Công ty CP TM&amp;DV Phước Sơn  mua dự trữ hàng hóa thiết yếu phục vụ Tết NĐ 2013 nhưng đến này còn 184 tr.đ chưa trả NS huyện; Ứng kinh phí để thực hiện chính sách hỗ trợ về nhà ở cho người có công với cách mạng theo QĐ 22: 820trđ; ứng kinh phí thực hiện phát triển GTNT và kiên cố hóa mặt đường ĐH: 290trđ</t>
  </si>
  <si>
    <t>4.4</t>
  </si>
  <si>
    <t>Tạm ứng từ năm 2015 về trước chưa thu hồi</t>
  </si>
  <si>
    <t>4.5</t>
  </si>
  <si>
    <t xml:space="preserve">- Kế hoạch vốn trong năm còn thừa và không thực hiện được nhưng huyện vẫn cho ứng trước dự toán công trình nâng cấp và mở rộng đường Nguyễn Văn Linh </t>
  </si>
  <si>
    <t>4.6</t>
  </si>
  <si>
    <t xml:space="preserve">Nhà thầu thi công lần 1 tạm ứng nhưng không đủ năng lực thi công phải chấm dứt hợp đồng, số dư tạm ứng chưa thu hồi </t>
  </si>
  <si>
    <t>4.7</t>
  </si>
  <si>
    <t>- Tạm ứng ngoài ngân sách bằng Lệnh chi tiền cho các đơn vị 2.635.233.000đ; Các khoản ứng trước ngân sách kéo dài nhiều năm từ năm 2010 nhưng chưa được bố trí Kế hoạch vốn để thu hồi 34.312.689.391đ; KBNN tạm ứng hợp đồng từ năm 2010 đến nay chưa thu hồi: 10.219.497.242đ</t>
  </si>
  <si>
    <t>BC 05/BC-UBND ngày 07/01/2019 của TP.Tam Kỳ</t>
  </si>
  <si>
    <t xml:space="preserve">Theo dõi và thu hồi khoản thanh toán vượt giá trị quyết toán </t>
  </si>
  <si>
    <t>Ban QLDA Hạ tầng</t>
  </si>
  <si>
    <t>Theo dõi thu hồi các dự án thanh toán vượt giá trị quyết toán</t>
  </si>
  <si>
    <t>Thu hồi các dự án thanh toán vượt giá trị quyết toán được duyệt</t>
  </si>
  <si>
    <t>Các khoản thanh toán vượt giá trị quyết toán A - B</t>
  </si>
  <si>
    <t>Giảm chuyển nguồn, tăng kết dư</t>
  </si>
  <si>
    <t>Giảm kết dư, tăng chi chuyển nguồn</t>
  </si>
  <si>
    <t>Thị xã Điện Bàn</t>
  </si>
  <si>
    <t>Xã Phước Năng, huyện Phước Sơn</t>
  </si>
  <si>
    <t>Các khoản điều chỉnh tăng thu giữa các cấp NS do điều tiết sai</t>
  </si>
  <si>
    <t>1</t>
  </si>
  <si>
    <t>Thu NS Trung ương</t>
  </si>
  <si>
    <t>QT NSNN 2016</t>
  </si>
  <si>
    <t>Thu NS tỉnh</t>
  </si>
  <si>
    <t>Thu NS huyện</t>
  </si>
  <si>
    <t>Giảm ghi thu - ghi chi</t>
  </si>
  <si>
    <t>Ghi thu, ghi chi khoản huy động đóng góp tự nguyện của phụ huynh học sinh trong các cơ sở giáo dục và đào tạo không thuộc nguồn thu ngân sách nhà nước</t>
  </si>
  <si>
    <t>Theo dõi nguồn CCTL</t>
  </si>
  <si>
    <t>Nguồn CCTL năm 2016 chuyển sang 2017 đã báo cáo Bộ Tài chính</t>
  </si>
  <si>
    <t>Số thu sự nghiệp để trích 40% CCTL cấp tỉnh đang tổng hợp theo số thu dự toán 90.074trđ, kiểm toán xác định số thu quyết toán nên nguồn tăng thêm</t>
  </si>
  <si>
    <t>TB 3101/TB-STC ngày 29/12/2017 của STC</t>
  </si>
  <si>
    <t>Ngân sách huyện</t>
  </si>
  <si>
    <t>Nhu cầu thực hiện CCTL giảm 7.491trđ; Nguồn năm trước chuyển sang 987trđ từ nguồn ngân sách của huyện.</t>
  </si>
  <si>
    <t>Nhu cầu CCTL giảm 4.816,5trđ; Nguồn năm trước chuyển sang 5.065trđ từ nguồn ngân sách của huyện.</t>
  </si>
  <si>
    <t>Tỉnh cấp thừa so với nhu cầu nên cuối năm 2016 còn thừa 5.867,2trđ gồm chuyển nguồn 5.477,2trđ và kết dư 390trđ</t>
  </si>
  <si>
    <t>3.4</t>
  </si>
  <si>
    <t>Nguồn kinh phí để thực hiện CCTL kiểm toán xác định tăng thêm do cấp thừa so với nhu cầu</t>
  </si>
  <si>
    <t>3.5</t>
  </si>
  <si>
    <t>Quế Sơn</t>
  </si>
  <si>
    <t>Nguồn thực hiện CCTL năm 2015 chưa sử dụng hết chuyển sang 2016 là 1.929trđ; Chưa trích 40% nguồn thu sự nghiệp 67trđ</t>
  </si>
  <si>
    <t>3.6</t>
  </si>
  <si>
    <t>Bắc Trà My</t>
  </si>
  <si>
    <t xml:space="preserve"> Địa phương báo cáo thiếu nguồn thực hiện CCTL năm 2015 chưa sử dụng hết CS 2016</t>
  </si>
  <si>
    <t>3.7</t>
  </si>
  <si>
    <t>Tiên Phước</t>
  </si>
  <si>
    <t xml:space="preserve"> Địa phương báo cáo thiếu nguồn thực hiện cải cách tiền lương năm 2015 chưa sử dụng hết chuyển sang 2016</t>
  </si>
  <si>
    <t>3.8</t>
  </si>
  <si>
    <t>Phước Sơn</t>
  </si>
  <si>
    <t>3.9</t>
  </si>
  <si>
    <t>Phú Ninh</t>
  </si>
  <si>
    <t xml:space="preserve"> Địa phương báo cáo thiếu nguồn thực hiện cải cách tiền lương năm 2016 chưa sử dụng hết chuyển sang 2017</t>
  </si>
  <si>
    <t>3.10</t>
  </si>
  <si>
    <t>Hội An</t>
  </si>
  <si>
    <t>Chưa trích 40% nguồn thu sự nghiệp</t>
  </si>
  <si>
    <t>3.11</t>
  </si>
  <si>
    <t>Duy Xuyên</t>
  </si>
  <si>
    <t>3.12</t>
  </si>
  <si>
    <t>Thăng Bình</t>
  </si>
  <si>
    <t>Chưa trích 40% nguồn thu sự nghiệp: 931trđ; Sử dụng nguồn CCTL để chi lương ngoài chỉ tiêu biên chế 972trđ</t>
  </si>
  <si>
    <t>3.13</t>
  </si>
  <si>
    <t>Hiệp Đức</t>
  </si>
  <si>
    <t>Kiến nghị khác</t>
  </si>
  <si>
    <t>Quỹ Đầu tư phát triển</t>
  </si>
  <si>
    <t>Hoàn trả Quỹ hỗ trợ sắp xếp và phát triển doanh nghiệp do Sở Tài chính quản lý</t>
  </si>
  <si>
    <t xml:space="preserve"> - UBND tỉnh có Báo cáo số 03/BC-UBND ngày 09/1/2018 báo cáo TTCP, nhưng CP chưa có ý kiến.
 - Nội dung này trùng với kiến nghị của KTNN 2015, nên địa phương theo dõi, triển khai thực hiện tại kiến nghị này và loại trừ việc thực hiện kiến nghị của năm 2015.</t>
  </si>
  <si>
    <t>UBND xã Tam Thăng, TP Tam Kỳ</t>
  </si>
  <si>
    <t>Công trình đường GTNT Vĩnh Bình- Thạch Tân, công tác quản lý chất lượng và nghiệm thu công việc mặt đường bê tông xi măng không tuân thủ Quyết định 1951/QĐ-BGTVT, được phê duyệt quyết toán với giá trị 1.403.610.793đ. (thiếu thủ tục, phải hoàn thiện)</t>
  </si>
  <si>
    <t>Ban QLDA Hạ tầng thuộc BQL Khu KTM Chu Lai</t>
  </si>
  <si>
    <t>Các hạng mục đã nghiệm thu nhưng hư hỏng cần khắc phục tại Dự án đường cứu hộ, cứu nạn huyện Thăng Bình (Theo dõi giá trị đã thanh toán và đôn đốc nhà thầu sửa chữa và thi công theo đúng bản vẽ thiết kế các hạng mục đã nghiệm thu nhưng chưa hoàn thiện hoặc đến nay đã hư hỏng)</t>
  </si>
  <si>
    <t>BB nghiệm thu SC các hư hỏng ngày 10/9/2018 (BC số 247/BC-KTM ngày 28/12/2018)</t>
  </si>
  <si>
    <t>Giảm chuyển lỗ</t>
  </si>
  <si>
    <t>Cục thuế tỉnh (Công ty TNHH Llumar Việt Nam)</t>
  </si>
  <si>
    <t>Giảm lỗ do loại trừ các khoản chi không tương ứng với doanh thu tính thuế theo quy định tại Điều 3 Thông tư số 96/2015/TT-BTC.</t>
  </si>
  <si>
    <t>Mục 2</t>
  </si>
  <si>
    <t>Báo cáo KTNN chuyên đề sự nghiệp đô thị Tam Kỳ</t>
  </si>
  <si>
    <t>Kiến nghị xử lý tài chính đối với UBND Tam Kỳ</t>
  </si>
  <si>
    <t>Thu hồi, nộp ngân sách các khoản chi sai quy định</t>
  </si>
  <si>
    <t>BQL các công trình công cộng</t>
  </si>
  <si>
    <t>Công tác vệ sinh môi trường trên địa bàn thành phố năm 2015</t>
  </si>
  <si>
    <t>Công tác đảm bảo thoát nước trên địa bàn thành phố Tam Kỳ</t>
  </si>
  <si>
    <t>Duy tu sửa chữa các tuyến đường năm 2014</t>
  </si>
  <si>
    <t xml:space="preserve">Ban Quản lý dự án Đầu tư và Xây dựng thành phố Tam Kỳ </t>
  </si>
  <si>
    <t>Công trình Nâng cấp Quảng Trường 24/3</t>
  </si>
  <si>
    <t>Công trình Trồng mới cây xanh trên địa bàn thành phố Tam Kỳ</t>
  </si>
  <si>
    <t>Phòng Quản lý Đô thị</t>
  </si>
  <si>
    <t>Chăm sóc cây xanh năm 2016</t>
  </si>
  <si>
    <t>Sửa chữa vận hành, lắp đặt bổ sung hệ thống điện chiếu sáng và đèn tín hiệu giao thông 2016</t>
  </si>
  <si>
    <t>Quét vôi bó vĩa, dãi phân cách năm 2016</t>
  </si>
  <si>
    <t>Đảm bảo thoát nước trên địa bàn thành phố năm 2016</t>
  </si>
  <si>
    <t>Sơn kẻ đường, biển báo, biển tên đường, đảo giao thông trên địa bàn thành phố năm 2016</t>
  </si>
  <si>
    <t>Sửa chữa đan mương, bó vĩa, vĩa hè. Duy trì sửa chữa kênh ADB, cống ngăn triều năm 2016</t>
  </si>
  <si>
    <t>Nhặt thu gom phế thải, vớt bèo trên sông Tam Kỳ, Bàn Thạch năm 2016</t>
  </si>
  <si>
    <t>Công tác vệ sinh môi trường trên địa bàn thành phố năm 2016</t>
  </si>
  <si>
    <t>Công trình Nâng cấp Quảng Trường 24/3 (Hệ thống cây xanh 211.033.413 đ; HM vỉa hè 164.368.029 đ)</t>
  </si>
  <si>
    <t>Công trình: Chỉnh trang, khớp nối khu dân cư khối phố 4</t>
  </si>
  <si>
    <t>Mục 3</t>
  </si>
  <si>
    <t>Báo cáo KTNN chuyên đề công tác quản lý, sử dụng đất KKTM Chu Lai</t>
  </si>
  <si>
    <t>Các khoản tăng thu NS (thu khác)</t>
  </si>
  <si>
    <t>Đoàn phúc tra KTNN năm 2018 kiến nghị thêm</t>
  </si>
  <si>
    <t>Cty CP Trùng Dương</t>
  </si>
  <si>
    <t>GTGC tiền bồi thường, GPMB vào tiền thuê đất phải nộp</t>
  </si>
  <si>
    <t>Cty CP Hoàng Việt</t>
  </si>
  <si>
    <t>Thu hồi, nộp NS các khoản chi sai quy định</t>
  </si>
  <si>
    <t>Trung tâm Phát triển Hạ tầng</t>
  </si>
  <si>
    <t>Tính sai chi phí chung và thu nhập chịu thuế tính trước các công tác xây lắp (78.438.939 đồng); Tính thừa khối lượng so với hồ sơ hoàn công 107.287.000 đồng Dự án KCN Tam Hiệp</t>
  </si>
  <si>
    <t>Báo cáo số 43/BC-KTM ngày 29/3/2019 của BQL Khu KTM Chu Lai (UBND tỉnh đã ban hành văn bản số 179/UBND-KTTH ngày 09/01/2019 yêu cầu Cty cấp thoát nước QN nộp trả)</t>
  </si>
  <si>
    <t>Tính thừa khối lượng so với hồ sơ hoàn công của dự án KCN Tam Thăng</t>
  </si>
  <si>
    <t>Giảm giá trị trúng thầu</t>
  </si>
  <si>
    <t>Công ty TNHH MTV Phát triển hạ tầng Khu công nghiệp Chu Lai</t>
  </si>
  <si>
    <t>Tính thừa công tác đất</t>
  </si>
  <si>
    <t>Tiền thuê đất phải nộp NSNN</t>
  </si>
  <si>
    <t>Công ty CP Trùng Dương</t>
  </si>
  <si>
    <t>Không làm thủ tục miễn tiền thuê đất</t>
  </si>
  <si>
    <t>Công ty CP Hoàng Việt</t>
  </si>
  <si>
    <t>Chậm làm thủ tụcmiễn tiền thuê đất</t>
  </si>
  <si>
    <t>Thu hồi hoàn trả NSNN</t>
  </si>
  <si>
    <t>Tiền thanh toán vượt khối lượng</t>
  </si>
  <si>
    <t xml:space="preserve">  Số còn lại chưa thực hiện bao gồm: DA san nền tổ hợp ô tô Than VN (gđ2) 1,65 tỷ và DA KCN Tam Hiện 1,712662530 tỷ (dư ứng 2004-2010 chưa thu hồi)_Chi tiết tại PL05</t>
  </si>
  <si>
    <t>Thanh toán, tạm ứng vượt giá trị khối lượng quyết toán được duyệt (đã phê duyệt quyết toán từ năm 2009, 2012, 2014 tại 3 dự án nhưng đến thời kiểm toán chưa thu hồi hết số vốn đầu tư đã thanh toán vượt)</t>
  </si>
  <si>
    <t>Tiền bồi thường GPMB</t>
  </si>
  <si>
    <t>Công ty TNHH MTV Phát triển Hạ tầng KCN Chu Lai</t>
  </si>
  <si>
    <t>Chi phí bồi thường GPMB từ nguồn NSNN công ty kinh doanh hạ tầng có trách nhiệm phải hoàn trả về NSNN theo quy định tại Mục 4, phần B, Thông tư 120/2005/TT-BTC ngày 30/12/2005 của Bộ Tài chính tại KCN Tam Thăng 24.999,3trđ; KCN Bắc Chu Lai giai đoạn 02: 34.069,9trđ</t>
  </si>
  <si>
    <t>Sai sót về tài chính khác (giảm giá trị hình thành tài sản - nguồn vốn huy động của Doanh nghiệp)</t>
  </si>
  <si>
    <t>Tính sai khối lượng định mức công tác xây lắp san lấp mặt bằng của Dự án KCN Tam Hiệp</t>
  </si>
  <si>
    <t>Tổng cộng:</t>
  </si>
  <si>
    <t>Phụ lục số 01-2015</t>
  </si>
  <si>
    <t>BÁO CÁO KẾT QUẢ THỰC HIỆN KIẾN NGHỊ CỦA KIỂM TOÁN NGÂN SÁCH NHÀ NƯỚC NĂM 2015</t>
  </si>
  <si>
    <t>Số tiền KTNN
kiến nghị</t>
  </si>
  <si>
    <t>Số đã
thực hiện</t>
  </si>
  <si>
    <t>PHẦN I. KIẾN NGHỊ VỀ XỬ LÝ TÀI CHÍNH</t>
  </si>
  <si>
    <t>CÁC KHOẢN TĂNG THU</t>
  </si>
  <si>
    <t>TĂNG THU NGÂN SÁCH (TẠI CỤC THUẾ)</t>
  </si>
  <si>
    <t xml:space="preserve"> - Thuế giá trị gia tăng</t>
  </si>
  <si>
    <t xml:space="preserve"> - Thuế thu nhập doanh nghiệp</t>
  </si>
  <si>
    <t xml:space="preserve"> - Thuế tài nguyên</t>
  </si>
  <si>
    <t xml:space="preserve"> - Phí, lệ phí</t>
  </si>
  <si>
    <t xml:space="preserve"> - Thu khác</t>
  </si>
  <si>
    <t xml:space="preserve"> - Giảm VAT được khấu trừ</t>
  </si>
  <si>
    <t>Ngân sách địa phương</t>
  </si>
  <si>
    <t>Kinh phí thường xuyên</t>
  </si>
  <si>
    <t>Vốn XDCB</t>
  </si>
  <si>
    <t>b.1.</t>
  </si>
  <si>
    <t>Các đơn vị dự toán cấp tỉnh</t>
  </si>
  <si>
    <t xml:space="preserve"> - Sở Y tế</t>
  </si>
  <si>
    <t>Nghiệm thu, thanh quyết toán thừa Dự án Phòng khám đa khoa KCN Điện Nam - Điện Ngọc</t>
  </si>
  <si>
    <t xml:space="preserve"> - Sở Giáo dục và Đào tạo</t>
  </si>
  <si>
    <t>Nghiệm thu, thanh quyết toán thừa Dự án Trường THPT Vùng cao Nam Giang</t>
  </si>
  <si>
    <t>b.2.</t>
  </si>
  <si>
    <t>Các huyện, thành phố, thị xã</t>
  </si>
  <si>
    <t>b.3.</t>
  </si>
  <si>
    <t>Các Ban quản lý dự án</t>
  </si>
  <si>
    <t xml:space="preserve"> - BQL Khu Kinh tế mở Chu Lai</t>
  </si>
  <si>
    <t>Dự án Cơ sở hạ tầng KTĐC nhà ở Công nhân Tam Hiệp (chi phí khảo sát, chi phí thẩm tra thiết kế bản vẽ thi công dự toán)</t>
  </si>
  <si>
    <t xml:space="preserve"> - BQL DA các CTGT tỉnh</t>
  </si>
  <si>
    <t>Dự án mở rộng tuyến QL 1 đoạn Qua TP Tam Kỳ (khoản thanh toán ượt giá trị nghiệm thu - sai quy định) số tiền 6.225.481 đồng + Giảm chi phí quản lý dự án theo giá trị Kiểm toán 7.803.050 đồng</t>
  </si>
  <si>
    <t xml:space="preserve"> - BQL DA ĐTXD huyện Hiệp Đức</t>
  </si>
  <si>
    <t>Do tính sai đơn giá (Dự án Nâng ấp trục đường chính nội thị thị trấn Tân An) 27.872.090 đồng; + Thanh toán lệ phí thẩm định sai quy định số tiền 27.766.000 đồng (dự án biện viện đa khoa HĐ 2.634.000 đ; dự án Nâng cấp đường trục chính nội thị 11.977.000 đ; Dự án đường GTNT Quế Lưu - Phước Gia 13.155.000 đồng)</t>
  </si>
  <si>
    <t xml:space="preserve"> - BQL DA ĐTXD huyện Đại Lộc</t>
  </si>
  <si>
    <t>Đường lâm nghiệp 2013-2015 tại huyện ĐL (Ký hợp đồng theo giá điều chỉnh nhưng giá điều chỉnh không đúng theo đơn giá thực tế)</t>
  </si>
  <si>
    <t xml:space="preserve"> - BQL DA ĐTXD TX Điện Bàn</t>
  </si>
  <si>
    <t>Dự án Tiểu công viên Điện Bàn (do phụ lục HĐ thanh quyết toán bổ sung sai quy định) số tiền 85.872.164 đồng; Dự án Đường ĐH 9 (do thừa công tác Cống hộp ngang đường để thi công lắp đặt cống) số tiền 38.601.821 đồng</t>
  </si>
  <si>
    <t>Thu hồi cho vay, tạm ứng sai quy định</t>
  </si>
  <si>
    <t>Phòng TCKH huyện Thăng Bình</t>
  </si>
  <si>
    <t>KP cho TTPT Quỹ đất tạm ứng kinh phí hoạt động năm 2011, 2012 nhưng không xác định thời gian thu hồi ứng</t>
  </si>
  <si>
    <t>Thu hồi, nộp trả NS cấp trên kinh phí thừa</t>
  </si>
  <si>
    <t xml:space="preserve"> - Sở NN và PTNT</t>
  </si>
  <si>
    <t>Kinh phí thực hiện chính sách đầu tư phát triển rừng đặc dụng theo QĐ 24/2012/QĐ-TTg ngày 01/6/2012 đã hết nhiệm vụ chi chuyển nguồn</t>
  </si>
  <si>
    <t xml:space="preserve"> - Sở KHCN</t>
  </si>
  <si>
    <t>Giao dự toán tỉnh chưa giảm trừ số kinh phí còn thừa và không thực hiện các đề tài qua các năm</t>
  </si>
  <si>
    <t xml:space="preserve"> - Huyện Đại Lộc</t>
  </si>
  <si>
    <t>Thu hồi kinh phí còn thừa đã chuyển nguồn nhiều năm (Hỗ trợ làng nghề 424 tr.đ; KP đào tào cán bộ đi học 225 tr.đ; KP phổ cập giáo dục 60 tr.đ; KHCN 346 tr.đ; các nguồn khác 1.769,2355 tr.đ)</t>
  </si>
  <si>
    <t xml:space="preserve"> - Huyện Thăng Bình</t>
  </si>
  <si>
    <t xml:space="preserve"> - Vốn hỗ trợ đầu tư cơ sở hạ tầng thiết yếu các xã ĐBKK theo QĐ 257/2003/QĐ-TTg ngày 03/12/2003 hết thời hạn giải ngân</t>
  </si>
  <si>
    <t xml:space="preserve"> - Kinh phí chi trợ giá các mặt hàng chính sách tỉnh cấp thừa</t>
  </si>
  <si>
    <t xml:space="preserve"> - Huyện Duy Xuyên</t>
  </si>
  <si>
    <t xml:space="preserve"> - Nộp trả NS cấp trên kinh phí thực hiện CT MTQG Việc làm và dạy nghề</t>
  </si>
  <si>
    <t xml:space="preserve"> - Nộp trả NS cấp trên kinh phí thực hiện các công trình, dự án của CT MTQG Giảm nghèo đã QT còn thừa 137,267 tr.đ; Vốn NSTW do tỉnh bổ sung thực hiện các dự án đã QT hoàn thành, hết nhiệm vụ chi 77,0762 tr.đ</t>
  </si>
  <si>
    <t>a.1.</t>
  </si>
  <si>
    <t>Các cơ quan tổng hợp</t>
  </si>
  <si>
    <t>Giảm cấp phát năm sau đối với Sở Y tế và các địa phương do trích chưa đủ nguồn CCTL theo quy định (Sở Y tế phần 35% từ viện phí để CCTL là 19.709,633358 triệu đồng; 40% học phí của ĐP là 623 tr.đ)</t>
  </si>
  <si>
    <t>a.2.</t>
  </si>
  <si>
    <t>Kinh phí không tự chủ của Sở Y tế (QĐ 3642/QĐ-UBND ngày 25/9/2015 của UBND tỉnh cấp) chuyển nguồn không có nhiệm vụ chi</t>
  </si>
  <si>
    <t xml:space="preserve"> - Sở Văn hóa Thể thao-Du lịch</t>
  </si>
  <si>
    <t>KP còn thừa do tuyển chưa đủ học sinh theo chỉ tiêu nhưng đơn vị không hủy dự toán năm 2015</t>
  </si>
  <si>
    <t>a.3.</t>
  </si>
  <si>
    <t xml:space="preserve"> - Thị xã Điện Bàn</t>
  </si>
  <si>
    <t>Chưa trích tạo nguồn CCTL từ nguồn thu còn lại của đơn vị (TTVHTT 42,786 tr.đ; Đài TT-TH thị xã 60,512 tr.đ</t>
  </si>
  <si>
    <t>Kinh phí CCTL ngân sách tỉnh cấp thừa</t>
  </si>
  <si>
    <t>Dự án Phòng Khám Đa khoa KCN Điện Nam - Điện Ngọc (Nghiệm thu, thanh toán thừa KL công tác xúc đất đổ vào san lấp bằng máy đào)</t>
  </si>
  <si>
    <t xml:space="preserve"> - Dự án Kè bảo vệ đoạn từ Bến đò đến chợ Tam Hải (tính thừa khối lượng Gói thầu 02)</t>
  </si>
  <si>
    <t xml:space="preserve"> - Dự án Cơ sở hạ tầng KTĐC nhà ở Công nhân Tam Hiệp</t>
  </si>
  <si>
    <t xml:space="preserve"> - Dự án đường trục chính khu liên hợp công nghiệp, dịch vụ, đô thị Việt Hàn (giai đoạn 1)</t>
  </si>
  <si>
    <t xml:space="preserve"> - BQL DA ĐTXD tỉnh</t>
  </si>
  <si>
    <t xml:space="preserve"> - Dự án Nhà khách tỉnh Quảng Nam </t>
  </si>
  <si>
    <t xml:space="preserve"> - Dự án Cầu Kỳ Phú 1 và cầu Kỳ Phú 2 (gồm giảm giá trị thanh toán lần sau do giá trị thanh toán vượt giá trị nghiệm thu 369.825.325 đồng; do tính thừa khối lượng so với bản vẽ thi công 707.493.633 đồng)</t>
  </si>
  <si>
    <t xml:space="preserve"> - Dự án Mở rộng tuyến QL 1 đoạn từ KM 989+452,67 - KM 990+200 (qua TP Tam Kỳ)</t>
  </si>
  <si>
    <t xml:space="preserve"> - Dự án Nâng cấp và mở rộng tuyến ĐT 607 (đoạn qua Điện Bàn và Hội An)</t>
  </si>
  <si>
    <t xml:space="preserve"> - BQL DA ĐTXD huyện Quế Sơn</t>
  </si>
  <si>
    <t>Đường giao thông từ trung tâm thị trấn đến khu du lịch sinh thái Suối Tiên (tính trùng chi phí khảo sát lập thiết kế bản vẽ thi công + chi phí khảo sát lập dự án điều chỉnh; Nghiệm thu, thanh toán vượt khối lượng thực tế gói thầu xây lắp giai đoạn 1</t>
  </si>
  <si>
    <t>Dự án Nâng cấp đường trục chính nội thị thị trấn Tân An</t>
  </si>
  <si>
    <t xml:space="preserve"> - BQL DA ĐTXD huyện Thăng Bình</t>
  </si>
  <si>
    <t>Dự án cầu Xuân An 34.360.700 tr.đ; Dự án Đường giao thông Bình Quý đi Bình Phú 40.251.768 tr.đ</t>
  </si>
  <si>
    <t xml:space="preserve"> - BQL DA ĐTXD huyện Duy Xuyên</t>
  </si>
  <si>
    <t>Dự án Trường PTTH Vùng Đông, HM San nền, kè chắn số tiền 134,272 tr.đ; Dự án Tuyến đường ĐH3.DX số tiền 28,148 tr.đ</t>
  </si>
  <si>
    <t>Giảm giá trị Hợp đồng XDCB</t>
  </si>
  <si>
    <t>Dự án Cơ sở hạ tầng KTĐC nhà ở Công nhân Tam Hiệp (sai số học do công tác lập dự toán + tính thừa khối lượng)</t>
  </si>
  <si>
    <t>Dự án Nâng cấp và mở rộng tuyến ĐT 607 (đoạn qua Điện Bàn + Hội An)</t>
  </si>
  <si>
    <t>Đường giao thông từ trung tâm thị trấn đến khu du lịch sinh thái Suối Tiên (tính trùng, tính thừa khối lượng )</t>
  </si>
  <si>
    <t>Kiến nghị xử lý tài chính khác</t>
  </si>
  <si>
    <t>Dự án Cơ sở hạ tầng KTĐC nhà ở Công nhân Tam Hiệp (Giảm chi phí giám sát thi công xây dựng, chi phí quản lý dự án; Chi phí đất nguyên liệu tận thu không đầy đủ cơ sở pháp lý</t>
  </si>
  <si>
    <t>Ngân sách trung ương</t>
  </si>
  <si>
    <t>Dự án BVĐK huyện HĐ 39,618904 tr.đ + dự án Đường GTNT Quế Lưu - Phước Gia (dự án đã phê duyệt quyết toán) 123,919361 tr.đ</t>
  </si>
  <si>
    <t>KP thừa Dự án Đường GTNT Quế Lưu - Phước Gia</t>
  </si>
  <si>
    <t>CV số 565/KVIII-TH ngày 28/12/2018 V/v trả lời kiến nghị của UBND tỉnh Quảng Nam</t>
  </si>
  <si>
    <t>C</t>
  </si>
  <si>
    <t>KIẾN NGHỊ GIẢM LỖ</t>
  </si>
  <si>
    <t>Cục thuế tỉnh (theo dõi điều chỉnh giảm số lỗ chuyển sang năm sau)</t>
  </si>
  <si>
    <t>Công ty CP Đất Quảng</t>
  </si>
  <si>
    <t>Khoản giảm lỗ là chi phí đơn vị đóng góp cho địa phương do khai thác đất trên địa bàn là chưa đúng quy định</t>
  </si>
  <si>
    <t>Công ty CP xi măng Xuân Thành 2</t>
  </si>
  <si>
    <t>Khoản giảm lỗ chi phí lãi vay tương ứng phần vốn góp điều lệ chưa góp đủ theo giấy ĐKKD</t>
  </si>
  <si>
    <t>Báo cáo BTC xử lý</t>
  </si>
  <si>
    <t xml:space="preserve"> - KP thực hiện các CT, dự án các năm trước đã kết thúc hoặc không có văn bản cho kéo dài</t>
  </si>
  <si>
    <t xml:space="preserve"> - Nộp trả NSTW kinh phí CTMTQG BĐKH (ĐTXDCB) còn lại các huyện nộp trả NS tỉnh (Huyện NG 12 tr.đ + huyện NS 145,1 tr.đ)</t>
  </si>
  <si>
    <t>Nhà tài trợ CP Đan Mạch, Bộ TNMT đã thống nhất cho tỉnh Quảng Nam tiếp tục bố trí cho các dự án khác thuộc CT BĐKH. UBND tỉnh đã phân bổ tại QĐ 4630/QĐ-UBND ngày 27/12/2016</t>
  </si>
  <si>
    <t xml:space="preserve"> - Kinh phí hỗ trợ HS bán trú và trường PTDT nội trú theo QD 85/2010/QĐ-TTg (đã bao gồm 32,728 tỷ đồng số KTNN đã kiến nghị năm 2014)</t>
  </si>
  <si>
    <t xml:space="preserve"> - Kinh phí thực hiện QĐ 12/2013/QĐ-TTg về hỗ trợ học sinh THPT ở vùng có điều kiện KTXH khó khăn (đã bao gồm 5,075 tỷ đồng số KTNN đã kiến nghị năm 2014)</t>
  </si>
  <si>
    <t xml:space="preserve"> - Kinh phí thực hiện NĐ 49 - NĐ 74 hỗ trợ chi phí học tập và miễn giảm học phí (đã bao gồm 77,153 tỷ đồng số KTNN đã kiến nghị năm 2014)</t>
  </si>
  <si>
    <t xml:space="preserve"> - Kinh phí hỗ trợ tiền ăn cho trẻ 3-4-5 tuổi (đã bao gồm 4,676 tỷ đồng số KTNN đã kiến nghị năm 2014)</t>
  </si>
  <si>
    <t xml:space="preserve"> - Kinh phí còn thừa tại ĐP của Dự án tăng cường hệ thống trợ giúp xã hội VN</t>
  </si>
  <si>
    <t xml:space="preserve"> - Kinh phí còn thừa tại ĐP hỗ trợ tiền điện hộ nghèo và hộ chính sách xã hội</t>
  </si>
  <si>
    <t xml:space="preserve">Báo cáo, xin ý kiến của TTCP </t>
  </si>
  <si>
    <t>Về việc quản lý, sử dụng Quỹ hỗ trợ sắp xếp và phát triển doanh nghiệp theo quy định</t>
  </si>
  <si>
    <t xml:space="preserve"> - CV 1236/STC-DN ngày 10/6/2016; CV 1899/STC-DN ngày 24/8/2016 và CV 58/STC-DN ngày 07/01/2019 của Sở Tài chính.
 - Riêng, kiến nghị "UBND tỉnh cấp bổ sung vốn điều lệ cho Quỹ đầu tư phát triển tỉnh tại QĐ 1254/QĐ-UBND ngày 22/4/2014 từ nguồn Quỹ hỗ trợ sắp xếp và phát triển DN, số tiền: 15.219.767.097 đồng", trùng với kiến nghị KTNN 2016, nên tại mục này chuyển sang thực hiện kiến nghị của năm 2016</t>
  </si>
  <si>
    <t xml:space="preserve"> - UBND tỉnh cấp bổ sung vốn điều lệ cho Quỹ đầu tư phát triển tỉnh tại QĐ 1254/QĐ-UBND ngày 22/4/2014 từ nguồn Quỹ hỗ trợ sắp xếp và phát triển DN</t>
  </si>
  <si>
    <t>Nội dung này chuyển sang thực hiện tại kiến nghị KTNN năm 2016</t>
  </si>
  <si>
    <t xml:space="preserve"> - Số dư Quỹ hỗ trợ sắp xếp và PT doanh nghiệp đến 31/12/2015</t>
  </si>
  <si>
    <t>Bố trí nguồn hoàn trả</t>
  </si>
  <si>
    <t>Hoàn trả nguồn CCTL</t>
  </si>
  <si>
    <r>
      <t>KTNN KV III khẳng định kiến nghị này không xủ lý tại CV 76/KV III ngày 28/3/2018</t>
    </r>
    <r>
      <rPr>
        <sz val="10"/>
        <color indexed="10"/>
        <rFont val="Times New Roman"/>
        <family val="1"/>
      </rPr>
      <t xml:space="preserve"> (CV 565/KVIII-TH, ngày 28/12/2018 của KTNN yêu cầu tiếp tục thực hiện)</t>
    </r>
  </si>
  <si>
    <t>BQL KKTM Chu Lai</t>
  </si>
  <si>
    <t xml:space="preserve"> - Dự án đường trục chính Khu liên hợp CN,DV, đo thị Việt Hàn (gđ1) về thu hồi hoặc bảo lãnh bảo hành KL quyết toán.</t>
  </si>
  <si>
    <t xml:space="preserve"> - Dự án Kè bảo vệ đoạn từ Bến đò đến chợ Tam Hải (Kiểm điểm rút kinh nghiệm đối với việc Lập báo cáo đánh giá tác động môi trường 94.824.000 đ; và Nộp hoàn trả do thanh toán vượt giá trị nghiệm thu A-B số tiền 70.412.000 đồng).</t>
  </si>
  <si>
    <t xml:space="preserve"> - Dự án đường trục chính Khu liên hợp CN,DV, đo thị Việt Hàn (gđ1) về lập báo cáo đánh giá tác động môi trường</t>
  </si>
  <si>
    <t>BQL dự án các CTGT tỉnh</t>
  </si>
  <si>
    <t xml:space="preserve"> - Dự án Mở rộng tuyến QL 1 đoạn qua TP Tam Kỳ</t>
  </si>
  <si>
    <t xml:space="preserve"> - Dự án Nâng cấp và mở rộng tuyến ĐT 607 (đoạn qua Điện Bàn + Hội An)</t>
  </si>
  <si>
    <t>BQL dự án ĐTXD tỉnh</t>
  </si>
  <si>
    <t>Dự án nhà khách tỉnh Quảng Nam</t>
  </si>
  <si>
    <t>Huyện Đại Lộc</t>
  </si>
  <si>
    <t>BQL dự án ĐTXD huyện Đại Lộc</t>
  </si>
  <si>
    <t>Kết cấu hạ tầng kỹ thuật Khu TĐC di dời khẩn cấp vùng sạt lở Gò Dinh</t>
  </si>
  <si>
    <t>Phòng TCKH</t>
  </si>
  <si>
    <t>Tăng chi chuyển nguồn, đồng thời giảm kết dư NS tại các xã</t>
  </si>
  <si>
    <t xml:space="preserve">Phụ lục số 01-2013     </t>
  </si>
  <si>
    <t xml:space="preserve">BÁO CÁO TÌNH HÌNH  THỰC HIỆN KIẾN NGHỊ CỦA KIỂM TOÁN NGÂN SÁCH NHÀ NƯỚC NĂM 2013 </t>
  </si>
  <si>
    <t>Đvt: đồng.</t>
  </si>
  <si>
    <t>Ghi chú - Nguyên nhân chưa thực hiện</t>
  </si>
  <si>
    <t xml:space="preserve">TỔNG CỘNG </t>
  </si>
  <si>
    <t>TĂNG THU NGÂN SÁCH, TẠI CỤC THUẾ</t>
  </si>
  <si>
    <t>Doanh nghiệp đang chờ ý kiến giải quyết của KTNN nên chưa thực hiện</t>
  </si>
  <si>
    <t>Thuế sử dụng đất phi nông nghiệp</t>
  </si>
  <si>
    <t>Phí bảo vệ môi trường, phí khác</t>
  </si>
  <si>
    <t xml:space="preserve">Thu hồi tạm ứng ngân sách huyện khoản tiền tạm ứng cho Công ty CP xi măng CoSevCo </t>
  </si>
  <si>
    <t xml:space="preserve"> - Sở Tài chính</t>
  </si>
  <si>
    <t xml:space="preserve">Thu hồi nộp ngân sách huyện Thăng Bình dự án Đường trục chính vào CCN Hà Lam - Chợ Được (GĐ2) do quyết toán sai khối lượng </t>
  </si>
  <si>
    <t>Các BQL dự án</t>
  </si>
  <si>
    <t xml:space="preserve"> - Ban Quản lý dự án hạ tầng (thuộc BQL Khu KT mở Chu Lai)</t>
  </si>
  <si>
    <t xml:space="preserve"> - Ban quản lý các dự án ĐTXD huyện Nam Trà My</t>
  </si>
  <si>
    <t>Các địa phương</t>
  </si>
  <si>
    <t xml:space="preserve"> - Hội An</t>
  </si>
  <si>
    <t xml:space="preserve">Phòng Quản lý đô thị </t>
  </si>
  <si>
    <t xml:space="preserve">Thu hồi nộp ngân sách do thanh toán sai khối lượng sai đơn giá (Dự án KDC Cẩm Phô) </t>
  </si>
  <si>
    <t xml:space="preserve"> - Nam Giang</t>
  </si>
  <si>
    <t>Ban QL các DA ĐT và XD huyện Nam Giang</t>
  </si>
  <si>
    <t xml:space="preserve">Giảm giá trị xây lắp và thu hồi nộp NSNN Dự án đường giao thông Trung tâm hành chính xã Đắc Tôi  </t>
  </si>
  <si>
    <t>Thu hồi, nộp trả ngân sách</t>
  </si>
  <si>
    <t>Ngân sách TW</t>
  </si>
  <si>
    <t>KP hỗ trợ hộ nghèo về nhà ở theo QĐ 167: 56.400.000 đồng, KP CTMT quốc gia: 586.092.170 đồng, KP phòng chống ma túy: 4.000.000 đồng, tại các xã: 69.563.230 đồng</t>
  </si>
  <si>
    <t>Trung ương kinh phí khắc phục cơn bão số 9 năm 2010 hết nhiệm vụ chi</t>
  </si>
  <si>
    <t xml:space="preserve">Vốn kế hoạch năm 2011-2012 chưa giải ngân hết </t>
  </si>
  <si>
    <t xml:space="preserve">b) </t>
  </si>
  <si>
    <t xml:space="preserve"> - Thành phố Hội An</t>
  </si>
  <si>
    <t>Nộp trả ngân sách tỉnh kinh phí dồn điền đổi thửa hết nhiệm vụ chi</t>
  </si>
  <si>
    <t xml:space="preserve"> - Huyện Điện Bàn</t>
  </si>
  <si>
    <t xml:space="preserve">Nộp trả ngân sách tỉnh số kinh phí xây dựng quy hoạch nông thôn mới không sử dụng hết </t>
  </si>
  <si>
    <t xml:space="preserve"> - Huyện Nam Giang</t>
  </si>
  <si>
    <t>Phòng Tài chính-KH</t>
  </si>
  <si>
    <t>Nộp trả ngân sách tỉnh kinh phí thừa do hết nhiệm vụ chi</t>
  </si>
  <si>
    <t>Thị trấn Thạnh Mỹ</t>
  </si>
  <si>
    <t xml:space="preserve"> - Huyện Tiên Phước</t>
  </si>
  <si>
    <t>Thị trấn Tiên Kỳ</t>
  </si>
  <si>
    <t>Xã Tiên Phong</t>
  </si>
  <si>
    <t>Xã Tiên Mỹ</t>
  </si>
  <si>
    <t xml:space="preserve"> - Huyện Phú Ninh</t>
  </si>
  <si>
    <t>Kinh phí chương trình mục tiêu giáo dục còn thừa</t>
  </si>
  <si>
    <t>Kinh phí hết nhiệm vụ chi: Khai hoang Làng Yều: 70.000.000 đồng, Chương trình mục tiêu 134, 135: 31.413.000 đồng, kinh phí khắc phục bão lụt 167.814.000 đồng..</t>
  </si>
  <si>
    <t>Các huyện, thị xã, thành phố</t>
  </si>
  <si>
    <t>Giảm số bổ sung có mục tiêu cho UBND huyện Điện Bàn</t>
  </si>
  <si>
    <t xml:space="preserve"> Giảm bổ sung kinh phí thực hiện miễn giảm học phí và hỗ trợ chi phí học tập theo Nghị định 49/2010/NĐ-CP của Chính phủ cấp thừa so với nhu cầu</t>
  </si>
  <si>
    <t>Giảm bổ sung kinh phí thực hiện cải cách tiền lương do NS tỉnh bổ sung thừa so với nhu cầu</t>
  </si>
  <si>
    <t>Phòng kinh tế - Hạ tầng</t>
  </si>
  <si>
    <t>Giảm trừ dự toán năm sau do đơn vị được giao tự chủ theo Nghị định 130/2005/NĐ-CP nhưng bổ sung ngoài dự toán để chi cho các hoạt động có tính chất tự chủ</t>
  </si>
  <si>
    <t>Văn phòng UBND huyện</t>
  </si>
  <si>
    <t>Giảm trừ dự toán năm sau do bổ sung ngoài dự toán để mua sắm bàn ghế nhưng đơn vị không mua sắm bàn ghế mà chi nội dung khác có tính chất tự chủ</t>
  </si>
  <si>
    <t xml:space="preserve"> - Ban Quản lý dự án hạ tầng (thuộc Ban Quản lý Khu KTM Chu Lai)</t>
  </si>
  <si>
    <t xml:space="preserve"> - Ban Quản lý Văn phòng UBND tỉnh</t>
  </si>
  <si>
    <t>Thu hồi nộp ngân sách các khoản chi sai quy định -&gt; Xuất toán (giảm trừ) 2.530.571.224 đ khi thẩm trả, phê duyệt QT các dự án hoàn thành</t>
  </si>
  <si>
    <t xml:space="preserve"> - TP Hội An</t>
  </si>
  <si>
    <t>Giảm thanh toán năm sau dự án Dự án KDC Cẩm Phô: 350.924.613 đồng, Dự án KDC Tân Thịnh – Tân Mỹ: 214.443.000 đồng</t>
  </si>
  <si>
    <t xml:space="preserve"> - BQL các dự án ĐTXD huyện Nam Trà My</t>
  </si>
  <si>
    <t>CÁC KIẾN NGHỊ XỬ LÝ TÀI CHÍNH KHÁC</t>
  </si>
  <si>
    <t>Báo cáo Thủ tướng Chính phủ để xử lý dứt điểm kinh phí cấp cho Công ty CP phát triển Đô thị và KCN Quảng Nam Đà Nẵng hỗ trợ tiền thuê lại đất có kết cấu hạ tầng</t>
  </si>
  <si>
    <t>Giảm chi chuyển nguồn, tăng kết dư</t>
  </si>
  <si>
    <t>Báo cáo lại việc xử lý nguồn hoàn trả nguồn thực hiện CCTL</t>
  </si>
  <si>
    <t>Nộp về Quỹ hỗ trợ sắp xếp và phát triển doanh nghiệp</t>
  </si>
  <si>
    <t>KTNN đã kiến nghị trùng lắp ở KTNN 2016, KTNN 2017, KTNN 2018, nên đề nghị theo dõi tại tình hình thực hiện KTNN 2016, 2017, 2018</t>
  </si>
  <si>
    <t xml:space="preserve">Nộp vào ngân sách tỉnh số phí chênh lệch 0,02% của phí tồn ngân KBNN còn lại đến thời điểm kiểm toán </t>
  </si>
  <si>
    <t>Giảm quyết toán chi, tăng chi chuyển nguồn kinh phí chưa thực chi của Tỉnh ủy</t>
  </si>
  <si>
    <t>Ghi thu ghi chi vốn tài trợ của Công ty TNHH MTV Xổ số kiến thiết cho Sở Y tế</t>
  </si>
  <si>
    <t>Bố trí nguồn hoàn trả KP CTMT việc làm và dạy nghề</t>
  </si>
  <si>
    <t xml:space="preserve"> - Sở Kế hoạch- Đầu tư</t>
  </si>
  <si>
    <t>Bố trí nguồn hoàn trả Vốn CTMTQG giáo dục và đào tạo (STC)</t>
  </si>
  <si>
    <t xml:space="preserve">Bố trí nguồn hoàn trả vốn CTMTQG nông thôn mới   </t>
  </si>
  <si>
    <t>Bố trí nguồn hoàn trả vốn CTMTQG việc làm và dạy nghề</t>
  </si>
  <si>
    <t xml:space="preserve"> - Sở Giao thông vận tải</t>
  </si>
  <si>
    <t>Hoàn trả nguồn kinh phí CCTL do đơn vị sử dụng chi khác</t>
  </si>
  <si>
    <t xml:space="preserve">Bố trí hoàn trả nguồn KP CCTL do địa phương sử dụng nguồn CCTL để chi thường xuyên </t>
  </si>
  <si>
    <t xml:space="preserve">         Phòng Tài chính- KH huyện</t>
  </si>
  <si>
    <t>Bố trí nguồn hoàn trả do dùng kinh phí vượt thu NS năm 2013 cấp cho phòng Lao động TB- XH và các trường chi trả và quyết toán chính sách theo Nghị định 49/2010/NĐ-CP</t>
  </si>
  <si>
    <t xml:space="preserve">         Xã Tà Pơơ</t>
  </si>
  <si>
    <t xml:space="preserve">         Thị trấn Tiên Kỳ</t>
  </si>
  <si>
    <t>Kiến nghị khác (Thu tiền thuê đất sai thẩm quyền: 36.000.000 đồng, Bố trí nguồn hoàn trả do sử dụng nguồn CCTL chi thường xuyên: 40.975.815 đồng)</t>
  </si>
  <si>
    <t>Chi đầu tư XDCB</t>
  </si>
  <si>
    <t>Báo cáo Chính phủ xin ý kiến xử lý đối với nguồn vốn kế hoạch năm 2011 chưa giải ngân hết  phải nộp về NSTW theo Nghị quyết số 01/NQ-CP ngày 03/01/2012 của Chính phủ</t>
  </si>
  <si>
    <t>Hoàn trả tạm ứng TW</t>
  </si>
  <si>
    <t>Thu hồi tạm ứng vốn tồn ngân KBNN</t>
  </si>
  <si>
    <t>Thu hồi tạm ứng ngân sách tỉnh</t>
  </si>
  <si>
    <t>Đôn đốc thu hồi tạm ứng thuộc kế hoạch năm 2010 trở về trước</t>
  </si>
  <si>
    <t>Theo số liệu đã TH tại kiến nghị KTNN 2016, nên đề nghị theo dõi tại tình hình thực hiện KTNN 2016</t>
  </si>
  <si>
    <t>Hiện nay, UBND tỉnh đã thành lập Tổ công tác và Tổ giúp việc xử lý số dư tạm ứng vốn ĐTXDCB từ năm 2004-2010 (Quyết định số 1797/QĐ-UBND ngày 25/5/2016. UBND tỉnh Quảng Nam sẽ tập trung xử lý trong thời gian đến.</t>
  </si>
  <si>
    <t>Đoàn Phúc tra đã xác định đến 12/12/2016 còn lại 28.135.999.929 đ</t>
  </si>
  <si>
    <t>Căn cứ QĐ 737/QĐ-UBND ngày 10/3/2017 về CN số dư TƯ sang 2017 (chứng từ phục vụ KTNN phòng TCĐT sẽ cung cấp khi làm việc với Đoàn KTNN)</t>
  </si>
  <si>
    <t xml:space="preserve"> - Ban Quản lý Khu KTM Chu Lai</t>
  </si>
  <si>
    <t xml:space="preserve">          Ban Quản lý dự án hạ tầng</t>
  </si>
  <si>
    <t>Chi phí đất nguyên liệu tận thu, phí bảo dưỡng hạ tầng vận chuyển đất</t>
  </si>
  <si>
    <t xml:space="preserve"> - Văn phòng UBND tỉnh</t>
  </si>
  <si>
    <t xml:space="preserve">        BQL Văn phòng UBND tỉnh</t>
  </si>
  <si>
    <t>Thu hồi nộp ngân sách các khoản chi sai quy định</t>
  </si>
  <si>
    <t>Hoàn trả tạm ứng ngân sách tỉnh kinh phí dự án Lai Văn Kiều ứng nhiều năm trước chưa sử dụng</t>
  </si>
  <si>
    <t>D</t>
  </si>
  <si>
    <t>KIẾN NGHỊ KHÁC</t>
  </si>
  <si>
    <t>Cục thuế</t>
  </si>
  <si>
    <t>Xử lý các khoản nợ đọng phát hiện tăng thêm (Nợ đọng thuế 7.001 tr.đ; nợ đọng SDĐ 490,8 tr.đ; nợ đọng khác 137,8 triệu đồng)</t>
  </si>
  <si>
    <t>Phụ lục 01-2009</t>
  </si>
  <si>
    <t>BÁO CÁO TÌNH HÌNH  THỰC HIỆN KIẾN NGHỊ CỦA KIỂM TOÁN NGÂN SÁCH NHÀ NƯỚC NĂM 2009</t>
  </si>
  <si>
    <t>TỔNG CỘNG:</t>
  </si>
  <si>
    <t>Tăng thu khác ngân sách</t>
  </si>
  <si>
    <t xml:space="preserve">Thu hồi nộp NSNN các khoản kinh phí chi sai chế độ </t>
  </si>
  <si>
    <t>BQL DA HT thuộc BQL khu KTM Chu Lai</t>
  </si>
  <si>
    <r>
      <t>Đã kiến nghị BTC, KTNN tại Công văn số 37/UBND-KTTH ngày 04/01/2018 của UBND tỉnh</t>
    </r>
    <r>
      <rPr>
        <sz val="10"/>
        <color indexed="10"/>
        <rFont val="Times New Roman"/>
        <family val="1"/>
      </rPr>
      <t xml:space="preserve"> (KTNN yêu cầu tiếp tục thực hiện_CV 565/KVIII-TH ngày 28/12/2018)</t>
    </r>
  </si>
  <si>
    <t>Sở NN&amp;PTNT</t>
  </si>
  <si>
    <t>Sở GTVT</t>
  </si>
  <si>
    <t>VP Sở</t>
  </si>
  <si>
    <t xml:space="preserve">Cục thuế </t>
  </si>
  <si>
    <t>Xí nghiệp xây dựng Tiên Phước. KTNN kiến nghị điều chỉnh thành Cty CP Tư vấn và Xây dựng Văn Nhân (CV 313/KV III-TH ngày 24/8/2016)</t>
  </si>
  <si>
    <t xml:space="preserve"> -</t>
  </si>
  <si>
    <t>BQL dự án ĐTXD Tây Giang</t>
  </si>
  <si>
    <t>BQL dự án ĐTXD Phước Sơn</t>
  </si>
  <si>
    <t xml:space="preserve">II </t>
  </si>
  <si>
    <t>Nộp NSNN khác</t>
  </si>
  <si>
    <t>Sở KHĐT</t>
  </si>
  <si>
    <t>Truy thu phí thẩm định</t>
  </si>
  <si>
    <t>Tiền thanh lý TS nhà số 84 PCT</t>
  </si>
  <si>
    <t xml:space="preserve"> - </t>
  </si>
  <si>
    <t xml:space="preserve">Sở NN&amp;PTNT </t>
  </si>
  <si>
    <t>Trung tâm giống nộp trả NS</t>
  </si>
  <si>
    <t>BQL NN&amp;PTNT</t>
  </si>
  <si>
    <t>Cty TNHH MTV Kỳ Hà Chu Lai</t>
  </si>
  <si>
    <t>STC</t>
  </si>
  <si>
    <t>Phí tồn ngân KBNN</t>
  </si>
  <si>
    <t>Sử dụng nguồn thu phí rác thải thanh toán lãi vay ODA không đúng nguồn và không thuộc nội dung chi từ nguồn thu phí này</t>
  </si>
  <si>
    <t>Huyện Điện Bàn</t>
  </si>
  <si>
    <t>Nộp tiền cược của DN khi nhận thầu công trình</t>
  </si>
  <si>
    <t xml:space="preserve">Các khoản giảm chi </t>
  </si>
  <si>
    <t>Giảm chi thường xuyên</t>
  </si>
  <si>
    <t>Giảm quyết toán NSNN các khoản đề nghị quyết toán không đủ thủ tục</t>
  </si>
  <si>
    <t>Sở Y Tế</t>
  </si>
  <si>
    <t>kinh  phí để thanh toán khối lượng XDCB trường trung học Nguyễn Văn Trỗi khi chưa được ghi kế hoạch vốn từ đầu năm</t>
  </si>
  <si>
    <t>Phòng Nông nghiệp và PTNT huyện thanh toán chi phí giám sát, chi phí lập báo cáo kinh tế kỹ thuật và chi phí xây lắp của 3 công trình năm 2009 nh­ưng không có hóa đơn tài chính nên không đủ điều kiện quyết toán</t>
  </si>
  <si>
    <t>Giảm thanh toán, dự toán NSNN</t>
  </si>
  <si>
    <t>Sở GD-ĐT</t>
  </si>
  <si>
    <t>Sở Kế hoạch &amp; Đầu tư</t>
  </si>
  <si>
    <t>Các khoản giảm chi NSNN khác</t>
  </si>
  <si>
    <t>a.1</t>
  </si>
  <si>
    <t>Công ty ô tô Trường Hải</t>
  </si>
  <si>
    <t>a.2</t>
  </si>
  <si>
    <t>Công ty XD Quảng Nam</t>
  </si>
  <si>
    <t>a.3</t>
  </si>
  <si>
    <t>Cty Xây dựng &amp; Cấp thoát nước Quảng Nam</t>
  </si>
  <si>
    <t>a.4</t>
  </si>
  <si>
    <t>a.5</t>
  </si>
  <si>
    <t>a.6</t>
  </si>
  <si>
    <t>Khoản tạm ứngngoài NS 2010</t>
  </si>
  <si>
    <r>
      <t>Đây là các khoản ngân sách tỉnh tạm ứng cho các doanh nghiệp để thực hiện nhiệm vụ và đề án của tỉnh. Mặc dù từ năm 2010 Sở Tài chính đã đôn đốc thu hồi tạm ứng nhưng đến nay các Công ty này vẫn chưa có khả năng hoàn trả tạm ứng cho ngân sách tỉnh. Hiện nay các Công ty này đã phá sản và đang chờ hoàn tất thủ tục phá sản theo pháp luật.Do vậy, Sở Tài chính đã liên hệ với Tòa án, cơ quan thi hành án để phối hợp thu hồi tạm ứng ngân sách tỉnh.</t>
    </r>
    <r>
      <rPr>
        <sz val="10"/>
        <color indexed="10"/>
        <rFont val="Times New Roman"/>
        <family val="1"/>
      </rPr>
      <t xml:space="preserve"> (CV 565/KVIII-TH, ngày 28/12/2018 của KTNN yêu cầu tiếp tục thực hiện)</t>
    </r>
  </si>
  <si>
    <t>Các khoản đã thu hồi</t>
  </si>
  <si>
    <t>Cty Vật tư nông nghiệp QNam</t>
  </si>
  <si>
    <t xml:space="preserve"> - Tạm ứng kp giống lúa lai vụ hè thu 2002</t>
  </si>
  <si>
    <t xml:space="preserve"> - T/ứng kp lập thủ tục phá sản</t>
  </si>
  <si>
    <t>Cty XNK Nông sản và CP thực phẩm ĐN</t>
  </si>
  <si>
    <t xml:space="preserve"> - Trả nợ vay tín dụng đầu tư phát triển</t>
  </si>
  <si>
    <t>Cty XNK Nông sản và TPCB Đà Nẵng (CN Ngân hàng Phát triển Qnam cho vay uỷ thác)</t>
  </si>
  <si>
    <t xml:space="preserve"> - T/ứng trả lãi vay tín dụng đầu tư phát triển</t>
  </si>
  <si>
    <t xml:space="preserve"> - T/ứng trả nợ vay tín dụng đầu tư phát triển</t>
  </si>
  <si>
    <t xml:space="preserve">Ban Dân tộc </t>
  </si>
  <si>
    <t xml:space="preserve"> - Tạm ứng kp quy hoạch chương trình 135</t>
  </si>
  <si>
    <t xml:space="preserve"> - T/ứng kp khắc phục lũ lụt</t>
  </si>
  <si>
    <t>Khoản thu hồi tiền quay phim hiện trạng các hình ảnh GPMB và TĐC dự án đường Nam Quảng Nam do chi trả vượt chế độ quy định</t>
  </si>
  <si>
    <t>Giảm quyết toán NSNN các khoản chi chuyển nguồn không đúng quy định</t>
  </si>
  <si>
    <t>Sở Giáo dục &amp; Đào tạo</t>
  </si>
  <si>
    <t xml:space="preserve"> XDCB</t>
  </si>
  <si>
    <t>BQL khai thác quỹ đất huyện Điện Bàn</t>
  </si>
  <si>
    <t>Giảm cấp phát dự án Khu tái định cư số 1 Điện Dương</t>
  </si>
  <si>
    <t>Do từ khi KTNN kết luận cho đến nay công trình này chưa thanh toán tiếp do vướng GPMB và chưa có nguồn bố trí thanh toán nên chưa thực hiện được kiến nghị của KTNN, địa phương sẽ thực hiện khi tiếp tục thanh toán cho dự án.</t>
  </si>
  <si>
    <t>BQL dự án ĐTXD Hội An</t>
  </si>
  <si>
    <t>BQL dự án ĐTXD Tam Kỳ</t>
  </si>
  <si>
    <t>BQL dự án ĐTXD Điện Bàn</t>
  </si>
  <si>
    <t>BQL dự án ĐTXD Đông Giang</t>
  </si>
  <si>
    <t>Trung tâm VH TDTT huyện</t>
  </si>
  <si>
    <t>Tăng chi chuyển nguồn</t>
  </si>
  <si>
    <t>Tỉnh ủy Quảng Nam</t>
  </si>
  <si>
    <t>công tác quản lý, sử dụng đất Khu kinh tế mở Chu Lai</t>
  </si>
  <si>
    <t>Tổng KTNN kiến nghị</t>
  </si>
  <si>
    <t>KTNN</t>
  </si>
  <si>
    <t>Lệch 30 tr.đ do Sở Y tế</t>
  </si>
  <si>
    <r>
      <t xml:space="preserve">TÌNH HÌNH THỰC HIỆN KIẾN NGHỊ CỦA KIỂM TOÁN NGÂN SÁCH NHÀ NƯỚC NĂM 2018 </t>
    </r>
    <r>
      <rPr>
        <b/>
        <i/>
        <sz val="12"/>
        <rFont val="Times New Roman"/>
        <family val="1"/>
      </rPr>
      <t>(số liệu đến ngày 30/6/2021)</t>
    </r>
  </si>
  <si>
    <r>
      <t>BÁO CÁO KẾT QUẢ THỰC HIỆN KIẾN NGHỊ CỦA KIỂM TOÁN NGÂN SÁCH NHÀ NƯỚC NĂM 2017</t>
    </r>
    <r>
      <rPr>
        <b/>
        <i/>
        <sz val="12"/>
        <rFont val="Times New Roman"/>
        <family val="1"/>
      </rPr>
      <t xml:space="preserve"> (số liệu đến ngày 30/6/2021)</t>
    </r>
  </si>
  <si>
    <t>(Số liệu đến ngày 30/6/2021)</t>
  </si>
  <si>
    <t>(Số liệu báo cáo đến ngày 30/6/2021)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</si>
</sst>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quot;$&quot;* #,##0_);_(&quot;$&quot;* \(#,##0\);_(&quot;$&quot;* &quot;-&quot;_);_(@_)"/>
    <numFmt numFmtId="41" formatCode="_(* #,##0_);_(* \(#,##0\);_(* &quot;-&quot;_);_(@_)"/>
    <numFmt numFmtId="43" formatCode="_(* #,##0.00_);_(* \(#,##0.00\);_(* &quot;-&quot;??_);_(@_)"/>
    <numFmt numFmtId="164" formatCode="#,##0.00\ &quot;₫&quot;;\-#,##0.00\ &quot;₫&quot;"/>
    <numFmt numFmtId="165" formatCode="#,##0.00\ &quot;₫&quot;;[Red]\-#,##0.00\ &quot;₫&quot;"/>
    <numFmt numFmtId="166" formatCode="_-* #,##0\ _₫_-;\-* #,##0\ _₫_-;_-* &quot;-&quot;\ _₫_-;_-@_-"/>
    <numFmt numFmtId="167" formatCode="_-* #,##0.00\ _₫_-;\-* #,##0.00\ _₫_-;_-* &quot;-&quot;??\ _₫_-;_-@_-"/>
    <numFmt numFmtId="168" formatCode="&quot;¡Ì&quot;#,##0;[Red]\-&quot;¡Ì&quot;#,##0"/>
    <numFmt numFmtId="169" formatCode="_(* #,##0_);_(* \(#,##0\);_(* &quot;-&quot;??_);_(@_)"/>
    <numFmt numFmtId="170" formatCode="_-* #,##0\ _₫_-;\-* #,##0\ _₫_-;_-* &quot;-&quot;??\ _₫_-;_-@_-"/>
    <numFmt numFmtId="171" formatCode="_-* #,##0.00_-;\-* #,##0.00_-;_-* &quot;-&quot;??_-;_-@_-"/>
    <numFmt numFmtId="172" formatCode="_(&quot;£&quot;* #,##0.00_);_(&quot;£&quot;* \(#,##0.00\);_(&quot;£&quot;* &quot;-&quot;??_);_(@_)"/>
    <numFmt numFmtId="173" formatCode="#,##0;\-#,##0;\-"/>
    <numFmt numFmtId="174" formatCode="_(* #,##0.0_);_(* \(#,##0.0\);_(* &quot;-&quot;??_);_(@_)"/>
  </numFmts>
  <fonts count="67">
    <font>
      <sz val="11"/>
      <color theme="1"/>
      <name val="Calibri"/>
      <family val="2"/>
      <charset val="163"/>
      <scheme val="minor"/>
    </font>
    <font>
      <sz val="11"/>
      <color theme="1"/>
      <name val="Calibri"/>
      <family val="2"/>
      <scheme val="minor"/>
    </font>
    <font>
      <sz val="11"/>
      <color theme="1"/>
      <name val="Calibri"/>
      <family val="2"/>
      <charset val="163"/>
      <scheme val="minor"/>
    </font>
    <font>
      <sz val="13"/>
      <name val=".VnTime"/>
      <family val="2"/>
    </font>
    <font>
      <sz val="12"/>
      <name val="Times New Roman"/>
      <family val="1"/>
    </font>
    <font>
      <b/>
      <i/>
      <sz val="12"/>
      <name val="Times New Roman"/>
      <family val="1"/>
    </font>
    <font>
      <b/>
      <sz val="12"/>
      <name val="Times New Roman"/>
      <family val="1"/>
    </font>
    <font>
      <sz val="10"/>
      <name val="Arial"/>
      <family val="2"/>
      <charset val="163"/>
    </font>
    <font>
      <i/>
      <sz val="12"/>
      <name val="Times New Roman"/>
      <family val="1"/>
    </font>
    <font>
      <sz val="12"/>
      <name val=".VnTime"/>
      <family val="2"/>
    </font>
    <font>
      <sz val="10"/>
      <name val="Arial"/>
      <family val="2"/>
    </font>
    <font>
      <sz val="11"/>
      <color theme="1"/>
      <name val="Calibri"/>
      <family val="2"/>
      <scheme val="minor"/>
    </font>
    <font>
      <sz val="10"/>
      <name val=".VnTime"/>
      <family val="2"/>
    </font>
    <font>
      <sz val="12"/>
      <color theme="1"/>
      <name val="Calibri"/>
      <family val="2"/>
      <scheme val="minor"/>
    </font>
    <font>
      <sz val="11"/>
      <name val=".VnTime"/>
      <family val="2"/>
    </font>
    <font>
      <sz val="10"/>
      <name val="Times New Roman"/>
      <family val="1"/>
    </font>
    <font>
      <sz val="11"/>
      <color theme="1"/>
      <name val="Times New Roman"/>
      <family val="2"/>
      <charset val="163"/>
    </font>
    <font>
      <sz val="11"/>
      <color indexed="8"/>
      <name val="Calibri"/>
      <family val="2"/>
    </font>
    <font>
      <sz val="11"/>
      <name val="Times New Roman"/>
      <family val="1"/>
    </font>
    <font>
      <sz val="10"/>
      <name val="Helv"/>
    </font>
    <font>
      <sz val="13"/>
      <name val="VNI-Times"/>
    </font>
    <font>
      <sz val="11"/>
      <color indexed="8"/>
      <name val="Calibri"/>
      <family val="2"/>
      <charset val="163"/>
    </font>
    <font>
      <sz val="14"/>
      <name val="Times New Roman"/>
      <family val="1"/>
    </font>
    <font>
      <sz val="12"/>
      <color theme="1"/>
      <name val="Times New Roman"/>
      <family val="2"/>
    </font>
    <font>
      <sz val="11"/>
      <color theme="1"/>
      <name val="Times New Roman"/>
      <family val="2"/>
    </font>
    <font>
      <sz val="11"/>
      <name val=".VnArial"/>
      <family val="2"/>
    </font>
    <font>
      <sz val="14"/>
      <color theme="1"/>
      <name val="Times New Roman"/>
      <family val="2"/>
      <charset val="163"/>
    </font>
    <font>
      <sz val="10"/>
      <name val=".VnArial"/>
      <family val="2"/>
    </font>
    <font>
      <sz val="14"/>
      <color theme="1"/>
      <name val="Times New Roman"/>
      <family val="2"/>
    </font>
    <font>
      <sz val="11"/>
      <color theme="1"/>
      <name val="Arial"/>
      <family val="2"/>
    </font>
    <font>
      <sz val="10"/>
      <name val="MS Sans Serif"/>
      <family val="2"/>
    </font>
    <font>
      <b/>
      <sz val="11"/>
      <name val="Times New Roman"/>
      <family val="1"/>
    </font>
    <font>
      <sz val="12"/>
      <color theme="1"/>
      <name val="Times New Roman"/>
      <family val="1"/>
    </font>
    <font>
      <i/>
      <sz val="12"/>
      <color indexed="10"/>
      <name val="Times New Roman"/>
      <family val="1"/>
    </font>
    <font>
      <i/>
      <sz val="12"/>
      <color indexed="8"/>
      <name val="Times New Roman"/>
      <family val="1"/>
    </font>
    <font>
      <i/>
      <sz val="11"/>
      <name val="Times New Roman"/>
      <family val="1"/>
    </font>
    <font>
      <sz val="9"/>
      <name val="Arial"/>
      <family val="2"/>
    </font>
    <font>
      <b/>
      <u/>
      <sz val="12"/>
      <name val="Times New Roman"/>
      <family val="1"/>
    </font>
    <font>
      <sz val="12"/>
      <color rgb="FFFF0000"/>
      <name val="Times New Roman"/>
      <family val="1"/>
    </font>
    <font>
      <sz val="12"/>
      <color theme="0"/>
      <name val="Times New Roman"/>
      <family val="1"/>
    </font>
    <font>
      <i/>
      <sz val="12"/>
      <color theme="0"/>
      <name val="Times New Roman"/>
      <family val="1"/>
    </font>
    <font>
      <sz val="12"/>
      <name val="Times New Roman"/>
      <family val="1"/>
      <charset val="163"/>
    </font>
    <font>
      <sz val="14"/>
      <color theme="1"/>
      <name val="Times New Roman"/>
      <family val="1"/>
    </font>
    <font>
      <b/>
      <sz val="12"/>
      <name val="Times New Roman"/>
      <family val="1"/>
      <charset val="163"/>
    </font>
    <font>
      <b/>
      <sz val="12"/>
      <color theme="0"/>
      <name val="Times New Roman"/>
      <family val="1"/>
    </font>
    <font>
      <b/>
      <sz val="10"/>
      <name val="Times New Roman"/>
      <family val="1"/>
    </font>
    <font>
      <u/>
      <sz val="12"/>
      <name val="Times New Roman"/>
      <family val="1"/>
    </font>
    <font>
      <sz val="12"/>
      <color indexed="8"/>
      <name val="Times New Roman"/>
      <family val="1"/>
    </font>
    <font>
      <sz val="11"/>
      <color indexed="8"/>
      <name val="Times New Roman"/>
      <family val="1"/>
    </font>
    <font>
      <b/>
      <sz val="12"/>
      <color indexed="8"/>
      <name val="Times New Roman"/>
      <family val="1"/>
    </font>
    <font>
      <b/>
      <sz val="11"/>
      <color indexed="8"/>
      <name val="Times New Roman"/>
      <family val="1"/>
    </font>
    <font>
      <sz val="11"/>
      <color rgb="FFFF0000"/>
      <name val="Times New Roman"/>
      <family val="1"/>
    </font>
    <font>
      <sz val="10"/>
      <color rgb="FFFF0000"/>
      <name val="Times New Roman"/>
      <family val="1"/>
    </font>
    <font>
      <sz val="10"/>
      <color indexed="10"/>
      <name val="Times New Roman"/>
      <family val="1"/>
    </font>
    <font>
      <sz val="10"/>
      <name val="Arial"/>
      <family val="2"/>
    </font>
    <font>
      <sz val="9"/>
      <name val="Times New Roman"/>
      <family val="1"/>
    </font>
    <font>
      <b/>
      <sz val="10"/>
      <name val="Arial"/>
      <family val="2"/>
    </font>
    <font>
      <b/>
      <i/>
      <sz val="10"/>
      <name val="Arial"/>
      <family val="2"/>
    </font>
    <font>
      <i/>
      <sz val="13"/>
      <name val="Times New Roman"/>
      <family val="1"/>
    </font>
    <font>
      <b/>
      <i/>
      <sz val="12"/>
      <color indexed="8"/>
      <name val="Times New Roman"/>
      <family val="1"/>
    </font>
    <font>
      <b/>
      <i/>
      <sz val="10"/>
      <name val="Times New Roman"/>
      <family val="1"/>
    </font>
    <font>
      <i/>
      <sz val="10"/>
      <name val="Arial"/>
      <family val="2"/>
    </font>
    <font>
      <b/>
      <i/>
      <sz val="11"/>
      <name val="Times New Roman"/>
      <family val="1"/>
    </font>
    <font>
      <b/>
      <sz val="8"/>
      <color indexed="81"/>
      <name val="Tahoma"/>
      <family val="2"/>
    </font>
    <font>
      <sz val="8"/>
      <color indexed="81"/>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51">
    <xf numFmtId="0" fontId="0" fillId="0" borderId="0"/>
    <xf numFmtId="167" fontId="2" fillId="0" borderId="0" applyFont="0" applyFill="0" applyBorder="0" applyAlignment="0" applyProtection="0"/>
    <xf numFmtId="0" fontId="3" fillId="0" borderId="0" applyFont="0" applyFill="0" applyBorder="0" applyAlignment="0" applyProtection="0"/>
    <xf numFmtId="0" fontId="7" fillId="0" borderId="0"/>
    <xf numFmtId="0" fontId="9" fillId="0" borderId="0"/>
    <xf numFmtId="0" fontId="10" fillId="0" borderId="0">
      <alignment vertical="center"/>
    </xf>
    <xf numFmtId="0" fontId="11" fillId="0" borderId="0"/>
    <xf numFmtId="0" fontId="10" fillId="0" borderId="0"/>
    <xf numFmtId="43" fontId="10" fillId="0" borderId="0" applyFont="0" applyFill="0" applyBorder="0" applyAlignment="0" applyProtection="0"/>
    <xf numFmtId="0" fontId="12" fillId="0" borderId="0"/>
    <xf numFmtId="0" fontId="13" fillId="0" borderId="0"/>
    <xf numFmtId="164" fontId="13" fillId="0" borderId="0" applyFont="0" applyFill="0" applyBorder="0" applyAlignment="0" applyProtection="0"/>
    <xf numFmtId="0" fontId="14" fillId="0" borderId="0"/>
    <xf numFmtId="0" fontId="15" fillId="0" borderId="0"/>
    <xf numFmtId="43" fontId="12" fillId="0" borderId="0" applyFont="0" applyFill="0" applyBorder="0" applyAlignment="0" applyProtection="0"/>
    <xf numFmtId="0" fontId="10" fillId="0" borderId="0"/>
    <xf numFmtId="43" fontId="11" fillId="0" borderId="0" applyFont="0" applyFill="0" applyBorder="0" applyAlignment="0" applyProtection="0"/>
    <xf numFmtId="0" fontId="10" fillId="0" borderId="0"/>
    <xf numFmtId="0" fontId="12" fillId="0" borderId="0"/>
    <xf numFmtId="0" fontId="10" fillId="0" borderId="0"/>
    <xf numFmtId="0" fontId="2" fillId="0" borderId="0"/>
    <xf numFmtId="0" fontId="10" fillId="0" borderId="0"/>
    <xf numFmtId="0" fontId="10" fillId="0" borderId="0"/>
    <xf numFmtId="0" fontId="16" fillId="0" borderId="0"/>
    <xf numFmtId="0" fontId="16" fillId="0" borderId="0"/>
    <xf numFmtId="165" fontId="17" fillId="0" borderId="0" applyFont="0" applyFill="0" applyBorder="0" applyAlignment="0" applyProtection="0"/>
    <xf numFmtId="171" fontId="11"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167"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166" fontId="17" fillId="0" borderId="0" applyFont="0" applyFill="0" applyBorder="0" applyAlignment="0" applyProtection="0"/>
    <xf numFmtId="43" fontId="11"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6" fontId="18"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20" fillId="0" borderId="0" applyFont="0" applyFill="0" applyBorder="0" applyAlignment="0" applyProtection="0"/>
    <xf numFmtId="172" fontId="21" fillId="0" borderId="0" applyFont="0" applyFill="0" applyBorder="0" applyAlignment="0" applyProtection="0"/>
    <xf numFmtId="164" fontId="21"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166" fontId="22" fillId="0" borderId="0" applyFont="0" applyFill="0" applyBorder="0" applyAlignment="0" applyProtection="0"/>
    <xf numFmtId="43" fontId="23"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166" fontId="21" fillId="0" borderId="0" applyFont="0" applyFill="0" applyBorder="0" applyAlignment="0" applyProtection="0"/>
    <xf numFmtId="43" fontId="16" fillId="0" borderId="0" applyFont="0" applyFill="0" applyBorder="0" applyAlignment="0" applyProtection="0"/>
    <xf numFmtId="0" fontId="10" fillId="0" borderId="0"/>
    <xf numFmtId="0" fontId="10" fillId="0" borderId="0"/>
    <xf numFmtId="0" fontId="11" fillId="0" borderId="0"/>
    <xf numFmtId="0" fontId="18" fillId="0" borderId="0"/>
    <xf numFmtId="0" fontId="2" fillId="0" borderId="0"/>
    <xf numFmtId="0" fontId="10" fillId="0" borderId="0"/>
    <xf numFmtId="0" fontId="12" fillId="0" borderId="0"/>
    <xf numFmtId="0" fontId="10" fillId="0" borderId="0"/>
    <xf numFmtId="0" fontId="4" fillId="0" borderId="0"/>
    <xf numFmtId="0" fontId="10" fillId="0" borderId="0"/>
    <xf numFmtId="0" fontId="7"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5" fillId="0" borderId="0"/>
    <xf numFmtId="0" fontId="11" fillId="0" borderId="0"/>
    <xf numFmtId="0" fontId="24" fillId="0" borderId="0"/>
    <xf numFmtId="38" fontId="25" fillId="0" borderId="0"/>
    <xf numFmtId="0" fontId="9" fillId="0" borderId="0"/>
    <xf numFmtId="0" fontId="2" fillId="0" borderId="0"/>
    <xf numFmtId="0" fontId="11" fillId="0" borderId="0"/>
    <xf numFmtId="0" fontId="11" fillId="0" borderId="0"/>
    <xf numFmtId="0" fontId="10" fillId="0" borderId="0"/>
    <xf numFmtId="0" fontId="26" fillId="0" borderId="0"/>
    <xf numFmtId="0" fontId="10" fillId="0" borderId="0"/>
    <xf numFmtId="0" fontId="10" fillId="0" borderId="0"/>
    <xf numFmtId="0" fontId="27" fillId="0" borderId="0"/>
    <xf numFmtId="0" fontId="28" fillId="0" borderId="0"/>
    <xf numFmtId="0" fontId="2" fillId="0" borderId="0"/>
    <xf numFmtId="0" fontId="11" fillId="0" borderId="0"/>
    <xf numFmtId="0" fontId="4" fillId="0" borderId="0"/>
    <xf numFmtId="0" fontId="10" fillId="0" borderId="0"/>
    <xf numFmtId="0" fontId="11" fillId="0" borderId="0"/>
    <xf numFmtId="0" fontId="4" fillId="0" borderId="0"/>
    <xf numFmtId="0" fontId="9" fillId="0" borderId="0"/>
    <xf numFmtId="0" fontId="2" fillId="0" borderId="0"/>
    <xf numFmtId="0" fontId="23" fillId="0" borderId="0"/>
    <xf numFmtId="0" fontId="16" fillId="0" borderId="0"/>
    <xf numFmtId="0" fontId="7" fillId="0" borderId="0"/>
    <xf numFmtId="0" fontId="16" fillId="0" borderId="0"/>
    <xf numFmtId="0" fontId="10" fillId="0" borderId="0"/>
    <xf numFmtId="0" fontId="29" fillId="0" borderId="0"/>
    <xf numFmtId="0" fontId="13" fillId="0" borderId="0">
      <alignment vertical="center"/>
    </xf>
    <xf numFmtId="0" fontId="10" fillId="0" borderId="0"/>
    <xf numFmtId="9" fontId="12"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2" fillId="0" borderId="0" applyNumberFormat="0" applyFill="0" applyBorder="0" applyAlignment="0" applyProtection="0"/>
    <xf numFmtId="0" fontId="30" fillId="0" borderId="0"/>
    <xf numFmtId="9" fontId="11" fillId="0" borderId="0" applyFont="0" applyFill="0" applyBorder="0" applyAlignment="0" applyProtection="0"/>
    <xf numFmtId="9" fontId="10"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43" fontId="10" fillId="0" borderId="0" applyFont="0" applyFill="0" applyBorder="0" applyAlignment="0" applyProtection="0"/>
    <xf numFmtId="0" fontId="11" fillId="0" borderId="0"/>
    <xf numFmtId="0" fontId="11" fillId="0" borderId="0"/>
    <xf numFmtId="0" fontId="11" fillId="0" borderId="0"/>
    <xf numFmtId="0" fontId="10" fillId="0" borderId="0"/>
    <xf numFmtId="43" fontId="11" fillId="0" borderId="0" applyFont="0" applyFill="0" applyBorder="0" applyAlignment="0" applyProtection="0"/>
    <xf numFmtId="0" fontId="11" fillId="0" borderId="0"/>
    <xf numFmtId="0" fontId="11" fillId="0" borderId="0"/>
    <xf numFmtId="0" fontId="10" fillId="0" borderId="0"/>
    <xf numFmtId="0" fontId="12" fillId="0" borderId="0"/>
    <xf numFmtId="0" fontId="10" fillId="0" borderId="0"/>
    <xf numFmtId="0" fontId="10" fillId="0" borderId="0"/>
    <xf numFmtId="173" fontId="12" fillId="0" borderId="0" applyFont="0" applyFill="0" applyBorder="0" applyAlignment="0" applyProtection="0"/>
    <xf numFmtId="173" fontId="17" fillId="0" borderId="0" applyFont="0" applyFill="0" applyBorder="0" applyAlignment="0" applyProtection="0"/>
    <xf numFmtId="0" fontId="2" fillId="0" borderId="0"/>
    <xf numFmtId="0" fontId="4" fillId="0" borderId="0"/>
    <xf numFmtId="0" fontId="10" fillId="0" borderId="0"/>
    <xf numFmtId="43" fontId="10" fillId="0" borderId="0" applyFont="0" applyFill="0" applyBorder="0" applyAlignment="0" applyProtection="0"/>
    <xf numFmtId="0" fontId="10" fillId="0" borderId="0"/>
    <xf numFmtId="0" fontId="10" fillId="0" borderId="0"/>
    <xf numFmtId="0" fontId="12" fillId="0" borderId="0" applyFont="0" applyFill="0" applyBorder="0" applyAlignment="0" applyProtection="0"/>
    <xf numFmtId="0" fontId="36" fillId="0" borderId="0"/>
    <xf numFmtId="42" fontId="10"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4" fillId="0" borderId="0"/>
    <xf numFmtId="43" fontId="54" fillId="0" borderId="0" applyFont="0" applyFill="0" applyBorder="0" applyAlignment="0" applyProtection="0"/>
  </cellStyleXfs>
  <cellXfs count="1119">
    <xf numFmtId="0" fontId="0" fillId="0" borderId="0" xfId="0"/>
    <xf numFmtId="168" fontId="4" fillId="0" borderId="0" xfId="2" applyNumberFormat="1" applyFont="1" applyFill="1" applyAlignment="1">
      <alignment horizontal="center" vertical="center" wrapText="1"/>
    </xf>
    <xf numFmtId="168" fontId="4" fillId="0" borderId="0" xfId="2" applyNumberFormat="1" applyFont="1" applyFill="1" applyAlignment="1">
      <alignment horizontal="left" vertical="center" wrapText="1"/>
    </xf>
    <xf numFmtId="0" fontId="4"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3" applyFont="1" applyFill="1" applyAlignment="1">
      <alignment horizontal="left" vertical="center" wrapText="1"/>
    </xf>
    <xf numFmtId="3" fontId="6" fillId="0" borderId="0" xfId="3" applyNumberFormat="1" applyFont="1" applyFill="1" applyAlignment="1">
      <alignment horizontal="right" vertical="center" wrapText="1"/>
    </xf>
    <xf numFmtId="0" fontId="4" fillId="0" borderId="2" xfId="7" applyFont="1" applyFill="1" applyBorder="1" applyAlignment="1">
      <alignment horizontal="left" vertical="center" wrapText="1"/>
    </xf>
    <xf numFmtId="169" fontId="4" fillId="0" borderId="2" xfId="8" applyNumberFormat="1" applyFont="1" applyFill="1" applyBorder="1" applyAlignment="1">
      <alignment horizontal="right" vertical="center" wrapText="1"/>
    </xf>
    <xf numFmtId="169" fontId="8" fillId="0" borderId="2" xfId="8" applyNumberFormat="1" applyFont="1" applyFill="1" applyBorder="1" applyAlignment="1">
      <alignment horizontal="right" vertical="center" wrapText="1"/>
    </xf>
    <xf numFmtId="0" fontId="8" fillId="0" borderId="0" xfId="0" applyFont="1" applyFill="1" applyAlignment="1">
      <alignment horizontal="center" vertical="center" wrapText="1"/>
    </xf>
    <xf numFmtId="0" fontId="4" fillId="0" borderId="2" xfId="9" applyFont="1" applyFill="1" applyBorder="1" applyAlignment="1">
      <alignment horizontal="left" vertical="center" wrapText="1"/>
    </xf>
    <xf numFmtId="0" fontId="6" fillId="0" borderId="0" xfId="0" applyFont="1" applyFill="1" applyAlignment="1">
      <alignment horizontal="center" vertical="center" wrapText="1"/>
    </xf>
    <xf numFmtId="3" fontId="4" fillId="0" borderId="2" xfId="6" applyNumberFormat="1" applyFont="1" applyFill="1" applyBorder="1" applyAlignment="1">
      <alignment horizontal="justify" vertical="center" wrapText="1"/>
    </xf>
    <xf numFmtId="0" fontId="6" fillId="0" borderId="2" xfId="7"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8" fillId="0" borderId="2" xfId="7" applyFont="1" applyFill="1" applyBorder="1" applyAlignment="1">
      <alignment horizontal="left" vertical="center" wrapText="1"/>
    </xf>
    <xf numFmtId="0" fontId="6" fillId="0" borderId="0" xfId="0" applyFont="1" applyFill="1" applyAlignment="1">
      <alignment vertical="center"/>
    </xf>
    <xf numFmtId="0" fontId="4" fillId="2" borderId="0" xfId="0" applyFont="1" applyFill="1" applyAlignment="1">
      <alignment horizontal="center" vertical="center" wrapText="1"/>
    </xf>
    <xf numFmtId="0" fontId="4" fillId="0" borderId="3" xfId="4" applyFont="1" applyFill="1" applyBorder="1" applyAlignment="1">
      <alignment horizontal="center" vertical="center" wrapText="1"/>
    </xf>
    <xf numFmtId="0" fontId="4" fillId="0" borderId="3" xfId="4" applyFont="1" applyFill="1" applyBorder="1" applyAlignment="1">
      <alignment horizontal="left" vertical="center" wrapText="1"/>
    </xf>
    <xf numFmtId="0" fontId="8" fillId="0" borderId="3" xfId="4" applyFont="1" applyFill="1" applyBorder="1" applyAlignment="1">
      <alignment horizontal="center" vertical="center" wrapText="1"/>
    </xf>
    <xf numFmtId="0" fontId="8" fillId="0" borderId="3" xfId="4" applyFont="1" applyFill="1" applyBorder="1" applyAlignment="1">
      <alignment horizontal="left" vertical="center" wrapText="1"/>
    </xf>
    <xf numFmtId="0" fontId="8" fillId="0" borderId="3" xfId="4" applyFont="1" applyFill="1" applyBorder="1" applyAlignment="1">
      <alignment horizontal="justify" vertical="center" wrapText="1"/>
    </xf>
    <xf numFmtId="0" fontId="4" fillId="0" borderId="3" xfId="4" applyFont="1" applyFill="1" applyBorder="1" applyAlignment="1">
      <alignment horizontal="justify" vertical="center" wrapText="1"/>
    </xf>
    <xf numFmtId="0" fontId="6" fillId="0" borderId="3" xfId="4" applyFont="1" applyFill="1" applyBorder="1" applyAlignment="1">
      <alignment horizontal="left" vertical="center"/>
    </xf>
    <xf numFmtId="0" fontId="8" fillId="0" borderId="0" xfId="0" applyFont="1" applyFill="1" applyAlignment="1">
      <alignment horizontal="left" vertical="center" wrapText="1"/>
    </xf>
    <xf numFmtId="0" fontId="4" fillId="0" borderId="2" xfId="67" applyFont="1" applyFill="1" applyBorder="1" applyAlignment="1">
      <alignment horizontal="center" vertical="center" wrapText="1"/>
    </xf>
    <xf numFmtId="0" fontId="4" fillId="0" borderId="0" xfId="67" applyFont="1" applyFill="1" applyAlignment="1">
      <alignment horizontal="center" vertical="center" wrapText="1"/>
    </xf>
    <xf numFmtId="3" fontId="4" fillId="0" borderId="2" xfId="67" applyNumberFormat="1" applyFont="1" applyFill="1" applyBorder="1" applyAlignment="1">
      <alignment vertical="center" wrapText="1"/>
    </xf>
    <xf numFmtId="0" fontId="4" fillId="0" borderId="2" xfId="67" applyFont="1" applyFill="1" applyBorder="1" applyAlignment="1">
      <alignment horizontal="left" vertical="center" wrapText="1"/>
    </xf>
    <xf numFmtId="0" fontId="8" fillId="0" borderId="2" xfId="67" applyFont="1" applyFill="1" applyBorder="1" applyAlignment="1">
      <alignment horizontal="center" vertical="center" wrapText="1"/>
    </xf>
    <xf numFmtId="3" fontId="8" fillId="0" borderId="2" xfId="67" applyNumberFormat="1" applyFont="1" applyFill="1" applyBorder="1" applyAlignment="1">
      <alignment vertical="center" wrapText="1"/>
    </xf>
    <xf numFmtId="0" fontId="8" fillId="2" borderId="0" xfId="0" applyFont="1" applyFill="1" applyAlignment="1">
      <alignment horizontal="center" vertical="center" wrapText="1"/>
    </xf>
    <xf numFmtId="168" fontId="4" fillId="0" borderId="0" xfId="2" applyNumberFormat="1" applyFont="1" applyFill="1" applyAlignment="1">
      <alignment vertical="center" wrapText="1"/>
    </xf>
    <xf numFmtId="0" fontId="4" fillId="0" borderId="0" xfId="7" applyFont="1" applyFill="1" applyAlignment="1">
      <alignment vertical="center"/>
    </xf>
    <xf numFmtId="0" fontId="6" fillId="0" borderId="2" xfId="13"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0" fontId="6" fillId="0" borderId="2" xfId="13" applyFont="1" applyFill="1" applyBorder="1" applyAlignment="1">
      <alignment horizontal="left" vertical="center" wrapText="1"/>
    </xf>
    <xf numFmtId="3" fontId="6" fillId="0" borderId="2" xfId="7" applyNumberFormat="1" applyFont="1" applyFill="1" applyBorder="1" applyAlignment="1">
      <alignment horizontal="center" vertical="center"/>
    </xf>
    <xf numFmtId="0" fontId="6" fillId="0" borderId="2" xfId="13" applyFont="1" applyFill="1" applyBorder="1" applyAlignment="1">
      <alignment vertical="center" wrapText="1"/>
    </xf>
    <xf numFmtId="0" fontId="6" fillId="0" borderId="2" xfId="7" applyNumberFormat="1" applyFont="1" applyFill="1" applyBorder="1" applyAlignment="1">
      <alignment horizontal="justify" vertical="center" wrapText="1"/>
    </xf>
    <xf numFmtId="0" fontId="6" fillId="0" borderId="2" xfId="7" applyFont="1" applyFill="1" applyBorder="1" applyAlignment="1">
      <alignment vertical="center"/>
    </xf>
    <xf numFmtId="0" fontId="6" fillId="0" borderId="0" xfId="7" applyFont="1" applyFill="1" applyAlignment="1">
      <alignment vertical="center"/>
    </xf>
    <xf numFmtId="3" fontId="18" fillId="0" borderId="2" xfId="13" applyNumberFormat="1" applyFont="1" applyFill="1" applyBorder="1" applyAlignment="1">
      <alignment horizontal="center" vertical="center" wrapText="1"/>
    </xf>
    <xf numFmtId="0" fontId="4" fillId="0" borderId="2" xfId="13" applyFont="1" applyFill="1" applyBorder="1" applyAlignment="1">
      <alignment vertical="center" wrapText="1"/>
    </xf>
    <xf numFmtId="3" fontId="4" fillId="0" borderId="2" xfId="67" applyNumberFormat="1" applyFont="1" applyFill="1" applyBorder="1" applyAlignment="1">
      <alignment vertical="center"/>
    </xf>
    <xf numFmtId="3" fontId="4" fillId="0" borderId="2" xfId="67" applyNumberFormat="1" applyFont="1" applyFill="1" applyBorder="1" applyAlignment="1">
      <alignment horizontal="justify" vertical="center"/>
    </xf>
    <xf numFmtId="0" fontId="6" fillId="0" borderId="2" xfId="6" applyFont="1" applyFill="1" applyBorder="1" applyAlignment="1">
      <alignment horizontal="center" vertical="center"/>
    </xf>
    <xf numFmtId="0" fontId="6" fillId="0" borderId="2" xfId="6" applyFont="1" applyFill="1" applyBorder="1" applyAlignment="1">
      <alignment vertical="center"/>
    </xf>
    <xf numFmtId="0" fontId="4" fillId="0" borderId="2" xfId="6" applyFont="1" applyFill="1" applyBorder="1" applyAlignment="1">
      <alignment horizontal="center" vertical="center"/>
    </xf>
    <xf numFmtId="169" fontId="4" fillId="0" borderId="2" xfId="7" applyNumberFormat="1" applyFont="1" applyFill="1" applyBorder="1" applyAlignment="1">
      <alignment horizontal="right" vertical="center" wrapText="1"/>
    </xf>
    <xf numFmtId="0" fontId="32" fillId="0" borderId="2" xfId="67" applyFont="1" applyFill="1" applyBorder="1" applyAlignment="1">
      <alignment horizontal="justify" vertical="center"/>
    </xf>
    <xf numFmtId="0" fontId="4" fillId="0" borderId="2" xfId="6" applyFont="1" applyFill="1" applyBorder="1" applyAlignment="1">
      <alignment vertical="center"/>
    </xf>
    <xf numFmtId="49" fontId="4" fillId="0" borderId="2" xfId="7" applyNumberFormat="1" applyFont="1" applyFill="1" applyBorder="1" applyAlignment="1">
      <alignment horizontal="left" vertical="center" wrapText="1"/>
    </xf>
    <xf numFmtId="0" fontId="8" fillId="0" borderId="2" xfId="6" applyFont="1" applyFill="1" applyBorder="1" applyAlignment="1">
      <alignment horizontal="center" vertical="center"/>
    </xf>
    <xf numFmtId="0" fontId="8" fillId="0" borderId="2" xfId="12" applyFont="1" applyFill="1" applyBorder="1" applyAlignment="1">
      <alignment horizontal="left" vertical="center" wrapText="1"/>
    </xf>
    <xf numFmtId="0" fontId="8" fillId="0" borderId="2" xfId="6" applyFont="1" applyFill="1" applyBorder="1" applyAlignment="1">
      <alignment vertical="center"/>
    </xf>
    <xf numFmtId="0" fontId="8" fillId="0" borderId="0" xfId="7" applyFont="1" applyFill="1" applyAlignment="1">
      <alignment vertical="center"/>
    </xf>
    <xf numFmtId="0" fontId="5" fillId="0" borderId="2" xfId="6" applyFont="1" applyFill="1" applyBorder="1" applyAlignment="1">
      <alignment horizontal="center" vertical="center"/>
    </xf>
    <xf numFmtId="49" fontId="8" fillId="0" borderId="2" xfId="7" applyNumberFormat="1" applyFont="1" applyFill="1" applyBorder="1" applyAlignment="1">
      <alignment horizontal="left" vertical="center" wrapText="1"/>
    </xf>
    <xf numFmtId="169" fontId="8" fillId="0" borderId="2" xfId="36" applyNumberFormat="1" applyFont="1" applyFill="1" applyBorder="1" applyAlignment="1">
      <alignment horizontal="right" vertical="center" wrapText="1"/>
    </xf>
    <xf numFmtId="0" fontId="5" fillId="0" borderId="2" xfId="6" applyFont="1" applyFill="1" applyBorder="1" applyAlignment="1">
      <alignment vertical="center"/>
    </xf>
    <xf numFmtId="0" fontId="4" fillId="0" borderId="2" xfId="67" applyFont="1" applyFill="1" applyBorder="1" applyAlignment="1">
      <alignment horizontal="justify" vertical="center" wrapText="1"/>
    </xf>
    <xf numFmtId="3" fontId="4" fillId="0" borderId="2" xfId="67" applyNumberFormat="1" applyFont="1" applyFill="1" applyBorder="1" applyAlignment="1">
      <alignment horizontal="right" vertical="center" wrapText="1"/>
    </xf>
    <xf numFmtId="169" fontId="4" fillId="0" borderId="2" xfId="31" applyNumberFormat="1" applyFont="1" applyFill="1" applyBorder="1" applyAlignment="1">
      <alignment horizontal="right" vertical="center" wrapText="1"/>
    </xf>
    <xf numFmtId="0" fontId="6" fillId="0" borderId="2" xfId="67" applyFont="1" applyFill="1" applyBorder="1" applyAlignment="1">
      <alignment horizontal="justify" vertical="center" wrapText="1"/>
    </xf>
    <xf numFmtId="3" fontId="6" fillId="0" borderId="2" xfId="67" applyNumberFormat="1" applyFont="1" applyFill="1" applyBorder="1" applyAlignment="1">
      <alignment horizontal="right" vertical="center" wrapText="1"/>
    </xf>
    <xf numFmtId="3" fontId="31" fillId="0" borderId="2" xfId="13" applyNumberFormat="1" applyFont="1" applyFill="1" applyBorder="1" applyAlignment="1">
      <alignment horizontal="center" vertical="center" wrapText="1"/>
    </xf>
    <xf numFmtId="0" fontId="6" fillId="0" borderId="2" xfId="7" applyFont="1" applyFill="1" applyBorder="1" applyAlignment="1">
      <alignment vertical="center" wrapText="1"/>
    </xf>
    <xf numFmtId="3" fontId="6" fillId="0" borderId="2" xfId="7" applyNumberFormat="1" applyFont="1" applyFill="1" applyBorder="1" applyAlignment="1">
      <alignment vertical="center" wrapText="1"/>
    </xf>
    <xf numFmtId="0" fontId="4" fillId="0" borderId="2" xfId="7" applyFont="1" applyFill="1" applyBorder="1" applyAlignment="1">
      <alignment vertical="center" wrapText="1"/>
    </xf>
    <xf numFmtId="0" fontId="4" fillId="0" borderId="0" xfId="7" applyFont="1" applyFill="1" applyAlignment="1">
      <alignment vertical="center" wrapText="1"/>
    </xf>
    <xf numFmtId="3" fontId="4" fillId="0" borderId="2" xfId="7" applyNumberFormat="1" applyFont="1" applyFill="1" applyBorder="1" applyAlignment="1">
      <alignment vertical="center" wrapText="1"/>
    </xf>
    <xf numFmtId="3" fontId="35" fillId="0" borderId="2" xfId="13" applyNumberFormat="1" applyFont="1" applyFill="1" applyBorder="1" applyAlignment="1">
      <alignment horizontal="center" vertical="center" wrapText="1"/>
    </xf>
    <xf numFmtId="0" fontId="8" fillId="0" borderId="2" xfId="7" applyFont="1" applyFill="1" applyBorder="1" applyAlignment="1">
      <alignment vertical="center" wrapText="1"/>
    </xf>
    <xf numFmtId="3" fontId="8" fillId="0" borderId="2" xfId="67" applyNumberFormat="1" applyFont="1" applyFill="1" applyBorder="1" applyAlignment="1">
      <alignment horizontal="justify" vertical="center" wrapText="1"/>
    </xf>
    <xf numFmtId="0" fontId="8" fillId="0" borderId="2" xfId="67" applyFont="1" applyFill="1" applyBorder="1" applyAlignment="1">
      <alignment vertical="center" wrapText="1"/>
    </xf>
    <xf numFmtId="0" fontId="8" fillId="0" borderId="0" xfId="7" applyFont="1" applyFill="1" applyAlignment="1">
      <alignment vertical="center" wrapText="1"/>
    </xf>
    <xf numFmtId="0" fontId="4" fillId="0" borderId="2" xfId="7" applyFont="1" applyFill="1" applyBorder="1" applyAlignment="1">
      <alignment horizontal="center" vertical="center"/>
    </xf>
    <xf numFmtId="0" fontId="4" fillId="0" borderId="2" xfId="7" applyFont="1" applyFill="1" applyBorder="1" applyAlignment="1">
      <alignment vertical="center"/>
    </xf>
    <xf numFmtId="3" fontId="6" fillId="0" borderId="2" xfId="5" applyNumberFormat="1" applyFont="1" applyFill="1" applyBorder="1" applyAlignment="1">
      <alignment horizontal="left" vertical="center" wrapText="1"/>
    </xf>
    <xf numFmtId="0" fontId="4" fillId="0" borderId="0" xfId="7" applyFont="1" applyFill="1" applyAlignment="1">
      <alignment horizontal="center" vertical="center"/>
    </xf>
    <xf numFmtId="170" fontId="4" fillId="0" borderId="0" xfId="1" applyNumberFormat="1" applyFont="1" applyFill="1" applyAlignment="1">
      <alignment horizontal="center" vertical="center" wrapText="1"/>
    </xf>
    <xf numFmtId="0" fontId="8" fillId="0" borderId="0" xfId="0" applyFont="1" applyFill="1" applyAlignment="1">
      <alignment horizontal="left" vertical="center"/>
    </xf>
    <xf numFmtId="0" fontId="5" fillId="2" borderId="0" xfId="0" applyFont="1" applyFill="1" applyAlignment="1">
      <alignment horizontal="center" vertical="center" wrapText="1"/>
    </xf>
    <xf numFmtId="0" fontId="6" fillId="0" borderId="3"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4" fillId="0" borderId="3" xfId="0" applyFont="1" applyFill="1" applyBorder="1" applyAlignment="1">
      <alignment horizontal="center" vertical="center" wrapText="1"/>
    </xf>
    <xf numFmtId="3" fontId="6" fillId="0" borderId="3" xfId="0" applyNumberFormat="1" applyFont="1" applyFill="1" applyBorder="1" applyAlignment="1">
      <alignment horizontal="right" vertical="center" wrapText="1"/>
    </xf>
    <xf numFmtId="0" fontId="5" fillId="2" borderId="3" xfId="4" applyFont="1" applyFill="1" applyBorder="1" applyAlignment="1">
      <alignment horizontal="center" vertical="center" wrapText="1"/>
    </xf>
    <xf numFmtId="0" fontId="5" fillId="2" borderId="3" xfId="13" applyFont="1" applyFill="1" applyBorder="1" applyAlignment="1">
      <alignment horizontal="left" vertical="center"/>
    </xf>
    <xf numFmtId="0" fontId="5" fillId="2" borderId="3" xfId="4" applyFont="1" applyFill="1" applyBorder="1" applyAlignment="1">
      <alignment horizontal="left" vertical="center" wrapText="1"/>
    </xf>
    <xf numFmtId="3" fontId="5" fillId="2" borderId="3" xfId="4" applyNumberFormat="1" applyFont="1" applyFill="1" applyBorder="1" applyAlignment="1">
      <alignment horizontal="right" vertical="center" wrapText="1"/>
    </xf>
    <xf numFmtId="0" fontId="8" fillId="2" borderId="3" xfId="0" applyFont="1" applyFill="1" applyBorder="1" applyAlignment="1">
      <alignment horizontal="center" vertical="center" wrapText="1"/>
    </xf>
    <xf numFmtId="3" fontId="4" fillId="0" borderId="3" xfId="5" applyNumberFormat="1" applyFont="1" applyFill="1" applyBorder="1" applyAlignment="1">
      <alignment vertical="center"/>
    </xf>
    <xf numFmtId="0" fontId="4" fillId="0" borderId="3" xfId="6" applyFont="1" applyFill="1" applyBorder="1" applyAlignment="1">
      <alignment horizontal="left" vertical="center" wrapText="1"/>
    </xf>
    <xf numFmtId="3" fontId="4" fillId="0" borderId="3" xfId="5" applyNumberFormat="1" applyFont="1" applyFill="1" applyBorder="1" applyAlignment="1">
      <alignment horizontal="right" vertical="center" wrapText="1"/>
    </xf>
    <xf numFmtId="3" fontId="8" fillId="0" borderId="3" xfId="5" applyNumberFormat="1" applyFont="1" applyFill="1" applyBorder="1" applyAlignment="1">
      <alignment vertical="center" wrapText="1"/>
    </xf>
    <xf numFmtId="3" fontId="8" fillId="0" borderId="3" xfId="5"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3" fontId="4" fillId="0" borderId="3" xfId="5" applyNumberFormat="1" applyFont="1" applyFill="1" applyBorder="1" applyAlignment="1">
      <alignment vertical="center" wrapText="1"/>
    </xf>
    <xf numFmtId="0" fontId="4" fillId="0" borderId="3" xfId="0" applyFont="1" applyFill="1" applyBorder="1" applyAlignment="1">
      <alignment horizontal="left" vertical="center" wrapText="1"/>
    </xf>
    <xf numFmtId="41" fontId="4" fillId="0" borderId="3" xfId="0" applyNumberFormat="1" applyFont="1" applyFill="1" applyBorder="1" applyAlignment="1">
      <alignment horizontal="right" vertical="center" wrapText="1"/>
    </xf>
    <xf numFmtId="0" fontId="5" fillId="2" borderId="3" xfId="0" applyFont="1" applyFill="1" applyBorder="1" applyAlignment="1">
      <alignment horizontal="left" vertical="center"/>
    </xf>
    <xf numFmtId="170" fontId="5" fillId="2" borderId="3" xfId="11" applyNumberFormat="1" applyFont="1" applyFill="1" applyBorder="1" applyAlignment="1">
      <alignment horizontal="right" vertical="center" wrapText="1"/>
    </xf>
    <xf numFmtId="0" fontId="4" fillId="0" borderId="3" xfId="0" applyFont="1" applyFill="1" applyBorder="1" applyAlignment="1">
      <alignment horizontal="left" vertical="center"/>
    </xf>
    <xf numFmtId="0" fontId="4" fillId="0" borderId="3" xfId="10" applyFont="1" applyFill="1" applyBorder="1" applyAlignment="1">
      <alignment horizontal="left" vertical="center" wrapText="1"/>
    </xf>
    <xf numFmtId="170" fontId="4" fillId="0" borderId="3" xfId="11" applyNumberFormat="1" applyFont="1" applyFill="1" applyBorder="1" applyAlignment="1">
      <alignment horizontal="right" vertical="center" wrapText="1"/>
    </xf>
    <xf numFmtId="3" fontId="8" fillId="0" borderId="3" xfId="10" applyNumberFormat="1" applyFont="1" applyFill="1" applyBorder="1" applyAlignment="1">
      <alignment horizontal="left" vertical="center"/>
    </xf>
    <xf numFmtId="3" fontId="8" fillId="0" borderId="3" xfId="10" applyNumberFormat="1" applyFont="1" applyFill="1" applyBorder="1" applyAlignment="1">
      <alignment horizontal="left" vertical="center" wrapText="1"/>
    </xf>
    <xf numFmtId="3" fontId="4" fillId="0" borderId="3" xfId="10" applyNumberFormat="1" applyFont="1" applyFill="1" applyBorder="1" applyAlignment="1">
      <alignment horizontal="left" vertical="center" wrapText="1"/>
    </xf>
    <xf numFmtId="0" fontId="5" fillId="2" borderId="3" xfId="4"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4" fillId="0" borderId="3" xfId="7" applyFont="1" applyFill="1" applyBorder="1" applyAlignment="1">
      <alignment horizontal="left" vertical="center" wrapText="1"/>
    </xf>
    <xf numFmtId="169" fontId="8" fillId="0" borderId="3" xfId="8" applyNumberFormat="1" applyFont="1" applyFill="1" applyBorder="1" applyAlignment="1">
      <alignment horizontal="right" vertical="center" wrapText="1"/>
    </xf>
    <xf numFmtId="0" fontId="6" fillId="0" borderId="3" xfId="7" applyFont="1" applyFill="1" applyBorder="1" applyAlignment="1">
      <alignment horizontal="left" vertical="center" wrapText="1"/>
    </xf>
    <xf numFmtId="169" fontId="6" fillId="0" borderId="3" xfId="8" applyNumberFormat="1" applyFont="1" applyFill="1" applyBorder="1" applyAlignment="1">
      <alignment horizontal="right" vertical="center" wrapText="1"/>
    </xf>
    <xf numFmtId="0" fontId="4" fillId="0" borderId="3" xfId="9" applyFont="1" applyFill="1" applyBorder="1" applyAlignment="1">
      <alignment horizontal="left" vertical="center" wrapText="1"/>
    </xf>
    <xf numFmtId="169" fontId="4" fillId="0" borderId="3" xfId="1" applyNumberFormat="1" applyFont="1" applyFill="1" applyBorder="1" applyAlignment="1">
      <alignment horizontal="right" vertical="center" wrapText="1"/>
    </xf>
    <xf numFmtId="0" fontId="8" fillId="0" borderId="3" xfId="10" applyFont="1" applyFill="1" applyBorder="1" applyAlignment="1">
      <alignment horizontal="left" vertical="center" wrapText="1"/>
    </xf>
    <xf numFmtId="170" fontId="8" fillId="0" borderId="3" xfId="10" applyNumberFormat="1" applyFont="1" applyFill="1" applyBorder="1" applyAlignment="1">
      <alignment horizontal="right" vertical="center" wrapText="1"/>
    </xf>
    <xf numFmtId="170" fontId="8" fillId="0" borderId="3" xfId="11" applyNumberFormat="1" applyFont="1" applyFill="1" applyBorder="1" applyAlignment="1">
      <alignment horizontal="right" vertical="center" wrapText="1"/>
    </xf>
    <xf numFmtId="41" fontId="6" fillId="0" borderId="3" xfId="0" applyNumberFormat="1" applyFont="1" applyFill="1" applyBorder="1" applyAlignment="1">
      <alignment horizontal="right" vertical="center" wrapText="1"/>
    </xf>
    <xf numFmtId="3" fontId="4" fillId="0" borderId="3" xfId="0" applyNumberFormat="1" applyFont="1" applyFill="1" applyBorder="1" applyAlignment="1">
      <alignment horizontal="center" vertical="center" wrapText="1"/>
    </xf>
    <xf numFmtId="3" fontId="6" fillId="0" borderId="3" xfId="4" applyNumberFormat="1"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wrapText="1"/>
    </xf>
    <xf numFmtId="3" fontId="4" fillId="0" borderId="3" xfId="0" applyNumberFormat="1" applyFont="1" applyFill="1" applyBorder="1" applyAlignment="1">
      <alignment horizontal="right" vertical="center" wrapText="1"/>
    </xf>
    <xf numFmtId="3" fontId="4" fillId="0" borderId="3" xfId="4" applyNumberFormat="1" applyFont="1" applyFill="1" applyBorder="1" applyAlignment="1">
      <alignment horizontal="center" vertical="center" wrapText="1"/>
    </xf>
    <xf numFmtId="0" fontId="4" fillId="0" borderId="3" xfId="0" applyFont="1" applyFill="1" applyBorder="1" applyAlignment="1">
      <alignment vertical="center" wrapText="1"/>
    </xf>
    <xf numFmtId="3" fontId="4" fillId="0" borderId="3" xfId="7" applyNumberFormat="1" applyFont="1" applyFill="1" applyBorder="1" applyAlignment="1">
      <alignment horizontal="right" vertical="center" wrapText="1"/>
    </xf>
    <xf numFmtId="3" fontId="6" fillId="0" borderId="3" xfId="7" applyNumberFormat="1" applyFont="1" applyFill="1" applyBorder="1" applyAlignment="1">
      <alignment horizontal="right" vertical="center" wrapText="1"/>
    </xf>
    <xf numFmtId="0" fontId="6" fillId="0" borderId="3" xfId="10" applyFont="1" applyFill="1" applyBorder="1" applyAlignment="1">
      <alignment horizontal="left" vertical="center" wrapText="1"/>
    </xf>
    <xf numFmtId="0" fontId="4" fillId="0" borderId="3" xfId="7" applyFont="1" applyFill="1" applyBorder="1" applyAlignment="1">
      <alignment horizontal="center" vertical="center" wrapText="1"/>
    </xf>
    <xf numFmtId="0" fontId="5" fillId="0" borderId="3" xfId="0" applyFont="1" applyFill="1" applyBorder="1" applyAlignment="1">
      <alignment horizontal="center" vertical="center" wrapText="1"/>
    </xf>
    <xf numFmtId="41" fontId="8" fillId="0" borderId="3" xfId="0" applyNumberFormat="1" applyFont="1" applyFill="1" applyBorder="1" applyAlignment="1">
      <alignment horizontal="right" vertical="center" wrapText="1"/>
    </xf>
    <xf numFmtId="0" fontId="6" fillId="0" borderId="3" xfId="7" applyFont="1" applyFill="1" applyBorder="1" applyAlignment="1">
      <alignment horizontal="center" vertical="center" wrapText="1"/>
    </xf>
    <xf numFmtId="3" fontId="4" fillId="0" borderId="3" xfId="4" quotePrefix="1" applyNumberFormat="1" applyFont="1" applyFill="1" applyBorder="1" applyAlignment="1">
      <alignment horizontal="left" vertical="center" wrapText="1"/>
    </xf>
    <xf numFmtId="0" fontId="4" fillId="0" borderId="3" xfId="4" applyFont="1" applyFill="1" applyBorder="1" applyAlignment="1">
      <alignment horizontal="left" vertical="center"/>
    </xf>
    <xf numFmtId="169" fontId="4" fillId="0" borderId="3" xfId="16" applyNumberFormat="1" applyFont="1" applyFill="1" applyBorder="1" applyAlignment="1">
      <alignment horizontal="right" vertical="center" wrapText="1"/>
    </xf>
    <xf numFmtId="3" fontId="4" fillId="0" borderId="3" xfId="15" applyNumberFormat="1" applyFont="1" applyFill="1" applyBorder="1" applyAlignment="1">
      <alignment horizontal="right" vertical="center" wrapText="1"/>
    </xf>
    <xf numFmtId="0" fontId="4" fillId="0" borderId="3" xfId="0" applyFont="1" applyFill="1" applyBorder="1" applyAlignment="1">
      <alignment vertical="center"/>
    </xf>
    <xf numFmtId="3" fontId="4" fillId="0" borderId="3" xfId="17" applyNumberFormat="1" applyFont="1" applyFill="1" applyBorder="1" applyAlignment="1">
      <alignment horizontal="right" vertical="center" wrapText="1"/>
    </xf>
    <xf numFmtId="0" fontId="6" fillId="0" borderId="3" xfId="18" applyFont="1" applyFill="1" applyBorder="1" applyAlignment="1">
      <alignment horizontal="center" vertical="center" wrapText="1"/>
    </xf>
    <xf numFmtId="3" fontId="6" fillId="0" borderId="3" xfId="0" applyNumberFormat="1" applyFont="1" applyFill="1" applyBorder="1" applyAlignment="1">
      <alignment horizontal="left" vertical="center"/>
    </xf>
    <xf numFmtId="3" fontId="4" fillId="0" borderId="3" xfId="0" applyNumberFormat="1" applyFont="1" applyFill="1" applyBorder="1" applyAlignment="1">
      <alignment horizontal="left" vertical="center" wrapText="1"/>
    </xf>
    <xf numFmtId="3" fontId="4" fillId="0" borderId="3" xfId="0" applyNumberFormat="1" applyFont="1" applyFill="1" applyBorder="1" applyAlignment="1">
      <alignment horizontal="left" vertical="center"/>
    </xf>
    <xf numFmtId="0" fontId="6" fillId="0" borderId="3" xfId="9" applyFont="1" applyFill="1" applyBorder="1" applyAlignment="1">
      <alignment horizontal="center" vertical="center" wrapText="1"/>
    </xf>
    <xf numFmtId="169" fontId="6" fillId="0" borderId="3" xfId="0" applyNumberFormat="1" applyFont="1" applyFill="1" applyBorder="1" applyAlignment="1">
      <alignment horizontal="right" vertical="center" wrapText="1"/>
    </xf>
    <xf numFmtId="0" fontId="4" fillId="0" borderId="3" xfId="9" applyFont="1" applyFill="1" applyBorder="1" applyAlignment="1">
      <alignment horizontal="center" vertical="center" wrapText="1"/>
    </xf>
    <xf numFmtId="3" fontId="4" fillId="0" borderId="3" xfId="5" applyNumberFormat="1" applyFont="1" applyFill="1" applyBorder="1" applyAlignment="1">
      <alignment horizontal="left" vertical="center"/>
    </xf>
    <xf numFmtId="170" fontId="4" fillId="0" borderId="3" xfId="10" applyNumberFormat="1" applyFont="1" applyFill="1" applyBorder="1" applyAlignment="1">
      <alignment horizontal="right" vertical="center" wrapText="1"/>
    </xf>
    <xf numFmtId="170" fontId="6" fillId="0" borderId="3" xfId="11" applyNumberFormat="1" applyFont="1" applyFill="1" applyBorder="1" applyAlignment="1">
      <alignment horizontal="right" vertical="center" wrapText="1"/>
    </xf>
    <xf numFmtId="3" fontId="8" fillId="0" borderId="3" xfId="23" applyNumberFormat="1" applyFont="1" applyFill="1" applyBorder="1" applyAlignment="1">
      <alignment horizontal="right" vertical="center" wrapText="1"/>
    </xf>
    <xf numFmtId="170" fontId="8" fillId="0" borderId="3" xfId="1" applyNumberFormat="1" applyFont="1" applyFill="1" applyBorder="1" applyAlignment="1">
      <alignment horizontal="right" vertical="center" wrapText="1"/>
    </xf>
    <xf numFmtId="170" fontId="4" fillId="0" borderId="3" xfId="1" applyNumberFormat="1" applyFont="1" applyFill="1" applyBorder="1" applyAlignment="1">
      <alignment horizontal="right" vertical="center" wrapText="1"/>
    </xf>
    <xf numFmtId="0" fontId="8" fillId="0" borderId="3" xfId="23" applyFont="1" applyFill="1" applyBorder="1" applyAlignment="1">
      <alignment horizontal="left" vertical="center" wrapText="1"/>
    </xf>
    <xf numFmtId="0" fontId="4" fillId="0" borderId="3" xfId="23" applyFont="1" applyFill="1" applyBorder="1" applyAlignment="1">
      <alignment horizontal="justify" vertical="center" wrapText="1"/>
    </xf>
    <xf numFmtId="3" fontId="5" fillId="0" borderId="3" xfId="4" applyNumberFormat="1"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3" fontId="8" fillId="0" borderId="3" xfId="6" applyNumberFormat="1" applyFont="1" applyFill="1" applyBorder="1" applyAlignment="1">
      <alignment horizontal="justify" vertical="center" wrapText="1"/>
    </xf>
    <xf numFmtId="3" fontId="8" fillId="0" borderId="3" xfId="0" applyNumberFormat="1" applyFont="1" applyFill="1" applyBorder="1" applyAlignment="1">
      <alignment horizontal="right" vertical="center" wrapText="1"/>
    </xf>
    <xf numFmtId="3" fontId="8" fillId="0" borderId="3" xfId="4" applyNumberFormat="1" applyFont="1" applyFill="1" applyBorder="1" applyAlignment="1">
      <alignment horizontal="center" vertical="center" wrapText="1"/>
    </xf>
    <xf numFmtId="0" fontId="8"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vertical="center" wrapText="1"/>
    </xf>
    <xf numFmtId="3" fontId="8" fillId="0" borderId="3" xfId="13" applyNumberFormat="1" applyFont="1" applyFill="1" applyBorder="1" applyAlignment="1">
      <alignment horizontal="right" vertical="center" wrapText="1"/>
    </xf>
    <xf numFmtId="3" fontId="8" fillId="0" borderId="3" xfId="7" applyNumberFormat="1" applyFont="1" applyFill="1" applyBorder="1" applyAlignment="1">
      <alignment horizontal="right" vertical="center" wrapText="1"/>
    </xf>
    <xf numFmtId="3" fontId="8" fillId="0" borderId="3" xfId="0" applyNumberFormat="1" applyFont="1" applyFill="1" applyBorder="1" applyAlignment="1">
      <alignment horizontal="center" vertical="center" wrapText="1"/>
    </xf>
    <xf numFmtId="0" fontId="8" fillId="0" borderId="3" xfId="9" applyFont="1" applyFill="1" applyBorder="1" applyAlignment="1">
      <alignment horizontal="left" vertical="center" wrapText="1"/>
    </xf>
    <xf numFmtId="0" fontId="5" fillId="2" borderId="3" xfId="0" applyFont="1" applyFill="1" applyBorder="1" applyAlignment="1">
      <alignment horizontal="center" vertical="center" wrapText="1"/>
    </xf>
    <xf numFmtId="41" fontId="5" fillId="2" borderId="3" xfId="0" applyNumberFormat="1" applyFont="1" applyFill="1" applyBorder="1" applyAlignment="1">
      <alignment horizontal="right" vertical="center" wrapText="1"/>
    </xf>
    <xf numFmtId="3" fontId="8" fillId="2" borderId="3" xfId="4" applyNumberFormat="1" applyFont="1" applyFill="1" applyBorder="1" applyAlignment="1">
      <alignment horizontal="center" vertical="center" wrapText="1"/>
    </xf>
    <xf numFmtId="3" fontId="8" fillId="0" borderId="3" xfId="5" applyNumberFormat="1" applyFont="1" applyFill="1" applyBorder="1" applyAlignment="1">
      <alignment vertical="center"/>
    </xf>
    <xf numFmtId="169" fontId="8" fillId="0" borderId="3" xfId="16" applyNumberFormat="1" applyFont="1" applyFill="1" applyBorder="1" applyAlignment="1">
      <alignment horizontal="right" vertical="center" wrapText="1"/>
    </xf>
    <xf numFmtId="3" fontId="8" fillId="0" borderId="3" xfId="15" applyNumberFormat="1" applyFont="1" applyFill="1" applyBorder="1" applyAlignment="1">
      <alignment horizontal="right" vertical="center" wrapText="1"/>
    </xf>
    <xf numFmtId="0" fontId="4" fillId="0" borderId="3" xfId="15" applyFont="1" applyFill="1" applyBorder="1" applyAlignment="1">
      <alignment horizontal="left" vertical="center" wrapText="1"/>
    </xf>
    <xf numFmtId="0" fontId="8" fillId="0" borderId="3" xfId="7" applyFont="1" applyFill="1" applyBorder="1" applyAlignment="1">
      <alignment horizontal="left" vertical="center" wrapText="1"/>
    </xf>
    <xf numFmtId="3" fontId="8" fillId="0" borderId="3" xfId="17" applyNumberFormat="1" applyFont="1" applyFill="1" applyBorder="1" applyAlignment="1">
      <alignment horizontal="right" vertical="center" wrapText="1"/>
    </xf>
    <xf numFmtId="0" fontId="5" fillId="2" borderId="3" xfId="10" applyFont="1" applyFill="1" applyBorder="1" applyAlignment="1">
      <alignment horizontal="left" vertical="center"/>
    </xf>
    <xf numFmtId="169" fontId="4" fillId="0" borderId="3" xfId="0" applyNumberFormat="1" applyFont="1" applyFill="1" applyBorder="1" applyAlignment="1">
      <alignment horizontal="right" vertical="center" wrapText="1"/>
    </xf>
    <xf numFmtId="0" fontId="5" fillId="2" borderId="3" xfId="0" applyFont="1" applyFill="1" applyBorder="1" applyAlignment="1">
      <alignment vertical="center"/>
    </xf>
    <xf numFmtId="0" fontId="8" fillId="2" borderId="3" xfId="0" applyFont="1" applyFill="1" applyBorder="1" applyAlignment="1">
      <alignment vertical="center" wrapText="1"/>
    </xf>
    <xf numFmtId="170" fontId="5" fillId="2" borderId="3" xfId="1" applyNumberFormat="1" applyFont="1" applyFill="1" applyBorder="1" applyAlignment="1">
      <alignment horizontal="right" vertical="center" wrapText="1"/>
    </xf>
    <xf numFmtId="169" fontId="5" fillId="2" borderId="3" xfId="0" applyNumberFormat="1" applyFont="1" applyFill="1" applyBorder="1" applyAlignment="1">
      <alignment horizontal="right" vertical="center" wrapText="1"/>
    </xf>
    <xf numFmtId="0" fontId="5" fillId="2" borderId="3" xfId="18" applyFont="1" applyFill="1" applyBorder="1" applyAlignment="1">
      <alignment horizontal="center" vertical="center" wrapText="1"/>
    </xf>
    <xf numFmtId="3" fontId="8" fillId="2" borderId="3" xfId="4" quotePrefix="1" applyNumberFormat="1" applyFont="1" applyFill="1" applyBorder="1" applyAlignment="1">
      <alignment horizontal="left" vertical="center" wrapText="1"/>
    </xf>
    <xf numFmtId="169" fontId="5" fillId="2" borderId="3" xfId="8" applyNumberFormat="1" applyFont="1" applyFill="1" applyBorder="1" applyAlignment="1">
      <alignment horizontal="right" vertical="center" wrapText="1"/>
    </xf>
    <xf numFmtId="3" fontId="5" fillId="2" borderId="3" xfId="15"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2" borderId="3" xfId="4" applyNumberFormat="1" applyFont="1" applyFill="1" applyBorder="1" applyAlignment="1">
      <alignment horizontal="center" vertical="center" wrapText="1"/>
    </xf>
    <xf numFmtId="169" fontId="8" fillId="0" borderId="3" xfId="1" applyNumberFormat="1" applyFont="1" applyFill="1" applyBorder="1" applyAlignment="1">
      <alignment horizontal="right" vertical="center" wrapText="1"/>
    </xf>
    <xf numFmtId="0" fontId="8" fillId="0" borderId="3" xfId="0" applyFont="1" applyFill="1" applyBorder="1" applyAlignment="1">
      <alignment horizontal="center" vertical="center"/>
    </xf>
    <xf numFmtId="170" fontId="8" fillId="0" borderId="3" xfId="11"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3" xfId="0" applyFont="1" applyFill="1" applyBorder="1" applyAlignment="1">
      <alignment horizontal="justify" vertical="center" wrapText="1"/>
    </xf>
    <xf numFmtId="0" fontId="4" fillId="0" borderId="3" xfId="6" applyFont="1" applyFill="1" applyBorder="1" applyAlignment="1">
      <alignment horizontal="justify" vertical="center" wrapText="1"/>
    </xf>
    <xf numFmtId="0" fontId="8" fillId="0" borderId="3" xfId="6" applyFont="1" applyFill="1" applyBorder="1" applyAlignment="1">
      <alignment horizontal="justify" vertical="center" wrapText="1"/>
    </xf>
    <xf numFmtId="0" fontId="4" fillId="0" borderId="3" xfId="0" applyFont="1" applyFill="1" applyBorder="1" applyAlignment="1">
      <alignment horizontal="justify" vertical="center" wrapText="1"/>
    </xf>
    <xf numFmtId="0" fontId="8" fillId="2" borderId="3" xfId="10" applyFont="1" applyFill="1" applyBorder="1" applyAlignment="1">
      <alignment horizontal="justify" vertical="center" wrapText="1"/>
    </xf>
    <xf numFmtId="0" fontId="4" fillId="0" borderId="3" xfId="10" applyFont="1" applyFill="1" applyBorder="1" applyAlignment="1">
      <alignment horizontal="justify" vertical="center" wrapText="1"/>
    </xf>
    <xf numFmtId="3" fontId="4" fillId="0" borderId="3" xfId="10" applyNumberFormat="1" applyFont="1" applyFill="1" applyBorder="1" applyAlignment="1">
      <alignment horizontal="justify" vertical="center" wrapText="1"/>
    </xf>
    <xf numFmtId="3" fontId="8" fillId="0" borderId="3" xfId="10" applyNumberFormat="1" applyFont="1" applyFill="1" applyBorder="1" applyAlignment="1">
      <alignment horizontal="justify" vertical="center"/>
    </xf>
    <xf numFmtId="3" fontId="8" fillId="0" borderId="3" xfId="10" applyNumberFormat="1" applyFont="1" applyFill="1" applyBorder="1" applyAlignment="1">
      <alignment horizontal="justify" vertical="center" wrapText="1"/>
    </xf>
    <xf numFmtId="0" fontId="6" fillId="0" borderId="3" xfId="4" applyFont="1" applyFill="1" applyBorder="1" applyAlignment="1">
      <alignment horizontal="justify" vertical="center" wrapText="1"/>
    </xf>
    <xf numFmtId="0" fontId="5" fillId="2" borderId="3" xfId="4" applyFont="1" applyFill="1" applyBorder="1" applyAlignment="1">
      <alignment horizontal="justify" vertical="center" wrapText="1"/>
    </xf>
    <xf numFmtId="0" fontId="8" fillId="0" borderId="3" xfId="7" applyFont="1" applyFill="1" applyBorder="1" applyAlignment="1">
      <alignment horizontal="justify" vertical="center" wrapText="1"/>
    </xf>
    <xf numFmtId="0" fontId="8" fillId="0" borderId="3" xfId="0" quotePrefix="1" applyFont="1" applyFill="1" applyBorder="1" applyAlignment="1">
      <alignment horizontal="justify" vertical="center" wrapText="1"/>
    </xf>
    <xf numFmtId="0" fontId="4" fillId="0" borderId="3" xfId="7" applyFont="1" applyFill="1" applyBorder="1" applyAlignment="1">
      <alignment horizontal="justify" vertical="center" wrapText="1"/>
    </xf>
    <xf numFmtId="0" fontId="8" fillId="0" borderId="3" xfId="10" applyFont="1" applyFill="1" applyBorder="1" applyAlignment="1">
      <alignment horizontal="justify" vertical="center" wrapText="1"/>
    </xf>
    <xf numFmtId="0" fontId="8" fillId="0" borderId="3" xfId="12" applyFont="1" applyFill="1" applyBorder="1" applyAlignment="1">
      <alignment horizontal="justify" vertical="center" wrapText="1"/>
    </xf>
    <xf numFmtId="0" fontId="4" fillId="0" borderId="3" xfId="12" applyFont="1" applyFill="1" applyBorder="1" applyAlignment="1">
      <alignment horizontal="justify" vertical="center" wrapText="1"/>
    </xf>
    <xf numFmtId="3" fontId="6" fillId="0" borderId="3" xfId="4" applyNumberFormat="1" applyFont="1" applyFill="1" applyBorder="1" applyAlignment="1">
      <alignment horizontal="justify" vertical="center" wrapText="1"/>
    </xf>
    <xf numFmtId="3" fontId="5" fillId="2" borderId="3" xfId="4" applyNumberFormat="1" applyFont="1" applyFill="1" applyBorder="1" applyAlignment="1">
      <alignment horizontal="justify" vertical="center" wrapText="1"/>
    </xf>
    <xf numFmtId="3" fontId="4" fillId="0" borderId="3" xfId="13" applyNumberFormat="1" applyFont="1" applyFill="1" applyBorder="1" applyAlignment="1">
      <alignment horizontal="justify" vertical="center" wrapText="1"/>
    </xf>
    <xf numFmtId="3" fontId="8" fillId="0" borderId="3" xfId="4" applyNumberFormat="1" applyFont="1" applyFill="1" applyBorder="1" applyAlignment="1">
      <alignment horizontal="justify" vertical="center" wrapText="1"/>
    </xf>
    <xf numFmtId="3" fontId="8" fillId="0" borderId="3" xfId="13"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2" borderId="3" xfId="10" applyFont="1" applyFill="1" applyBorder="1" applyAlignment="1">
      <alignment horizontal="justify" vertical="center" wrapText="1"/>
    </xf>
    <xf numFmtId="0" fontId="6" fillId="0" borderId="3" xfId="1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8" fillId="0" borderId="3" xfId="20" applyFont="1" applyFill="1" applyBorder="1" applyAlignment="1">
      <alignment horizontal="justify" vertical="center" wrapText="1"/>
    </xf>
    <xf numFmtId="0" fontId="4" fillId="0" borderId="3" xfId="20" applyFont="1" applyFill="1" applyBorder="1" applyAlignment="1">
      <alignment horizontal="justify" vertical="center" wrapText="1"/>
    </xf>
    <xf numFmtId="3" fontId="4" fillId="0" borderId="3" xfId="15" applyNumberFormat="1" applyFont="1" applyFill="1" applyBorder="1" applyAlignment="1">
      <alignment horizontal="justify" vertical="center" wrapText="1"/>
    </xf>
    <xf numFmtId="3" fontId="8" fillId="2" borderId="3" xfId="15"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wrapText="1"/>
    </xf>
    <xf numFmtId="3" fontId="8" fillId="2" borderId="3" xfId="4" quotePrefix="1" applyNumberFormat="1" applyFont="1" applyFill="1" applyBorder="1" applyAlignment="1">
      <alignment horizontal="justify" vertical="center" wrapText="1"/>
    </xf>
    <xf numFmtId="0" fontId="8" fillId="2" borderId="3" xfId="0" applyFont="1" applyFill="1" applyBorder="1" applyAlignment="1">
      <alignment horizontal="justify" vertical="center" wrapText="1"/>
    </xf>
    <xf numFmtId="3" fontId="8" fillId="0" borderId="3" xfId="4" quotePrefix="1" applyNumberFormat="1" applyFont="1" applyFill="1" applyBorder="1" applyAlignment="1">
      <alignment horizontal="justify" vertical="center" wrapText="1"/>
    </xf>
    <xf numFmtId="3" fontId="4" fillId="0" borderId="3" xfId="15" quotePrefix="1" applyNumberFormat="1" applyFont="1" applyFill="1" applyBorder="1" applyAlignment="1">
      <alignment horizontal="justify" vertical="center" wrapText="1"/>
    </xf>
    <xf numFmtId="0" fontId="8" fillId="0" borderId="3" xfId="9" quotePrefix="1" applyFont="1" applyFill="1" applyBorder="1" applyAlignment="1">
      <alignment horizontal="justify" vertical="center" wrapText="1"/>
    </xf>
    <xf numFmtId="0" fontId="8" fillId="2" borderId="3" xfId="21" applyFont="1" applyFill="1" applyBorder="1" applyAlignment="1">
      <alignment horizontal="justify" vertical="center" wrapText="1"/>
    </xf>
    <xf numFmtId="0" fontId="4" fillId="0" borderId="3" xfId="21" applyFont="1" applyFill="1" applyBorder="1" applyAlignment="1">
      <alignment horizontal="justify" vertical="center" wrapText="1"/>
    </xf>
    <xf numFmtId="3" fontId="4" fillId="0" borderId="3" xfId="0" applyNumberFormat="1" applyFont="1" applyFill="1" applyBorder="1" applyAlignment="1">
      <alignment horizontal="justify" vertical="center" wrapText="1"/>
    </xf>
    <xf numFmtId="3" fontId="8" fillId="2" borderId="3" xfId="0" applyNumberFormat="1" applyFont="1" applyFill="1" applyBorder="1" applyAlignment="1">
      <alignment horizontal="justify" vertical="center" wrapText="1"/>
    </xf>
    <xf numFmtId="3" fontId="5" fillId="0" borderId="3" xfId="4" applyNumberFormat="1" applyFont="1" applyFill="1" applyBorder="1" applyAlignment="1">
      <alignment horizontal="justify" vertical="center" wrapText="1"/>
    </xf>
    <xf numFmtId="0" fontId="8" fillId="0" borderId="3" xfId="21" applyFont="1" applyFill="1" applyBorder="1" applyAlignment="1">
      <alignment horizontal="justify" vertical="center" wrapText="1"/>
    </xf>
    <xf numFmtId="0" fontId="8" fillId="0" borderId="3" xfId="23" applyFont="1" applyFill="1" applyBorder="1" applyAlignment="1">
      <alignment horizontal="justify" vertical="center" wrapText="1"/>
    </xf>
    <xf numFmtId="0" fontId="8" fillId="0" borderId="0" xfId="0" applyFont="1" applyFill="1" applyAlignment="1">
      <alignment vertical="center"/>
    </xf>
    <xf numFmtId="0" fontId="6" fillId="0" borderId="2" xfId="6" applyFont="1" applyFill="1" applyBorder="1" applyAlignment="1">
      <alignment horizontal="justify" vertical="center"/>
    </xf>
    <xf numFmtId="0" fontId="4" fillId="0" borderId="2" xfId="7" applyFont="1" applyFill="1" applyBorder="1" applyAlignment="1">
      <alignment horizontal="justify" vertical="center" wrapText="1"/>
    </xf>
    <xf numFmtId="0" fontId="8" fillId="0" borderId="2" xfId="7" applyFont="1" applyFill="1" applyBorder="1" applyAlignment="1">
      <alignment horizontal="justify" vertical="center" wrapText="1"/>
    </xf>
    <xf numFmtId="0" fontId="4" fillId="0" borderId="2" xfId="6" applyFont="1" applyFill="1" applyBorder="1" applyAlignment="1">
      <alignment horizontal="justify" vertical="center"/>
    </xf>
    <xf numFmtId="0" fontId="4" fillId="0" borderId="2" xfId="9" applyFont="1" applyFill="1" applyBorder="1" applyAlignment="1">
      <alignment horizontal="justify" vertical="center" wrapText="1"/>
    </xf>
    <xf numFmtId="3" fontId="4" fillId="0" borderId="6" xfId="4" applyNumberFormat="1" applyFont="1" applyFill="1" applyBorder="1" applyAlignment="1">
      <alignment horizontal="right" vertical="center" wrapText="1"/>
    </xf>
    <xf numFmtId="169" fontId="4" fillId="0" borderId="3" xfId="8" applyNumberFormat="1" applyFont="1" applyFill="1" applyBorder="1" applyAlignment="1">
      <alignment horizontal="right" vertical="center" wrapText="1"/>
    </xf>
    <xf numFmtId="3" fontId="6" fillId="0" borderId="2" xfId="4" applyNumberFormat="1" applyFont="1" applyFill="1" applyBorder="1" applyAlignment="1">
      <alignment horizontal="center" vertical="center" wrapText="1"/>
    </xf>
    <xf numFmtId="3" fontId="4" fillId="0" borderId="3" xfId="4" applyNumberFormat="1" applyFont="1" applyFill="1" applyBorder="1" applyAlignment="1">
      <alignment horizontal="right" vertical="center" wrapText="1"/>
    </xf>
    <xf numFmtId="3" fontId="8" fillId="0" borderId="3" xfId="4" applyNumberFormat="1" applyFont="1" applyFill="1" applyBorder="1" applyAlignment="1">
      <alignment horizontal="right" vertical="center" wrapText="1"/>
    </xf>
    <xf numFmtId="3" fontId="6" fillId="0" borderId="3" xfId="4" applyNumberFormat="1" applyFont="1" applyFill="1" applyBorder="1" applyAlignment="1">
      <alignment horizontal="right"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3" fontId="4" fillId="0" borderId="0" xfId="0" applyNumberFormat="1" applyFont="1" applyFill="1" applyAlignment="1">
      <alignment horizontal="lef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9" fontId="4" fillId="0" borderId="3" xfId="145" applyFont="1" applyFill="1" applyBorder="1" applyAlignment="1">
      <alignment horizontal="right" vertical="center" wrapText="1"/>
    </xf>
    <xf numFmtId="9" fontId="6" fillId="0" borderId="3" xfId="145" applyFont="1" applyFill="1" applyBorder="1" applyAlignment="1">
      <alignment horizontal="right" vertical="center" wrapText="1"/>
    </xf>
    <xf numFmtId="9" fontId="4" fillId="0" borderId="6" xfId="145" applyFont="1" applyFill="1" applyBorder="1" applyAlignment="1">
      <alignment horizontal="right" vertical="center" wrapText="1"/>
    </xf>
    <xf numFmtId="9" fontId="5" fillId="2" borderId="3" xfId="145" applyFont="1" applyFill="1" applyBorder="1" applyAlignment="1">
      <alignment horizontal="right" vertical="center" wrapText="1"/>
    </xf>
    <xf numFmtId="0" fontId="8" fillId="0" borderId="1" xfId="7" applyFont="1" applyFill="1" applyBorder="1" applyAlignment="1">
      <alignment horizontal="right" vertical="center"/>
    </xf>
    <xf numFmtId="0" fontId="8" fillId="0" borderId="2" xfId="7" applyFont="1" applyFill="1" applyBorder="1" applyAlignment="1">
      <alignment horizontal="center" vertical="center" wrapText="1"/>
    </xf>
    <xf numFmtId="0" fontId="8" fillId="0" borderId="1" xfId="7" applyFont="1" applyFill="1" applyBorder="1" applyAlignment="1">
      <alignment vertical="center"/>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3" fontId="6" fillId="0" borderId="5" xfId="4" applyNumberFormat="1" applyFont="1" applyFill="1" applyBorder="1" applyAlignment="1">
      <alignment horizontal="right" vertical="center" wrapText="1"/>
    </xf>
    <xf numFmtId="9" fontId="6" fillId="0" borderId="5" xfId="145" applyFont="1" applyFill="1" applyBorder="1" applyAlignment="1">
      <alignment horizontal="right" vertical="center" wrapText="1"/>
    </xf>
    <xf numFmtId="9" fontId="6" fillId="0" borderId="2" xfId="145" applyFont="1" applyFill="1" applyBorder="1" applyAlignment="1">
      <alignment horizontal="right" vertical="center" wrapText="1"/>
    </xf>
    <xf numFmtId="0" fontId="4" fillId="0" borderId="0" xfId="0" quotePrefix="1" applyFont="1" applyFill="1" applyAlignment="1">
      <alignment horizontal="left" vertical="center"/>
    </xf>
    <xf numFmtId="0" fontId="8" fillId="0" borderId="3" xfId="18"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4" fillId="0" borderId="0" xfId="146" applyFont="1" applyFill="1" applyAlignment="1">
      <alignment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3" fontId="6" fillId="0" borderId="0" xfId="3" applyNumberFormat="1" applyFont="1" applyFill="1" applyAlignment="1">
      <alignment horizontal="center" vertical="center" wrapText="1"/>
    </xf>
    <xf numFmtId="0" fontId="8" fillId="0" borderId="1" xfId="146" applyFont="1" applyFill="1" applyBorder="1" applyAlignment="1">
      <alignment horizontal="right" vertical="center"/>
    </xf>
    <xf numFmtId="3" fontId="4" fillId="0" borderId="0" xfId="147" applyNumberFormat="1" applyFont="1" applyFill="1" applyAlignment="1">
      <alignment vertical="center"/>
    </xf>
    <xf numFmtId="0" fontId="6" fillId="0" borderId="0" xfId="4" applyFont="1" applyFill="1" applyBorder="1" applyAlignment="1">
      <alignment horizontal="center" vertical="center" wrapText="1"/>
    </xf>
    <xf numFmtId="0" fontId="6" fillId="0" borderId="7" xfId="4" applyFont="1" applyFill="1" applyBorder="1" applyAlignment="1">
      <alignment horizontal="center" vertical="center" wrapText="1"/>
    </xf>
    <xf numFmtId="3" fontId="6" fillId="0" borderId="7" xfId="4" applyNumberFormat="1" applyFont="1" applyFill="1" applyBorder="1" applyAlignment="1">
      <alignment horizontal="center" vertical="center" wrapText="1"/>
    </xf>
    <xf numFmtId="0" fontId="6" fillId="0" borderId="2" xfId="4" applyFont="1" applyFill="1" applyBorder="1" applyAlignment="1">
      <alignment vertical="center"/>
    </xf>
    <xf numFmtId="0" fontId="6" fillId="0" borderId="2" xfId="4" applyFont="1" applyFill="1" applyBorder="1" applyAlignment="1">
      <alignment vertical="center" wrapText="1"/>
    </xf>
    <xf numFmtId="3" fontId="6" fillId="0" borderId="7" xfId="4" applyNumberFormat="1" applyFont="1" applyFill="1" applyBorder="1" applyAlignment="1">
      <alignment horizontal="right" vertical="center" wrapText="1"/>
    </xf>
    <xf numFmtId="9" fontId="37" fillId="0" borderId="2" xfId="4" applyNumberFormat="1" applyFont="1" applyFill="1" applyBorder="1" applyAlignment="1">
      <alignment horizontal="right" vertical="center" wrapText="1"/>
    </xf>
    <xf numFmtId="0" fontId="6" fillId="0" borderId="8" xfId="4" applyFont="1" applyFill="1" applyBorder="1" applyAlignment="1">
      <alignment horizontal="center" vertical="center" wrapText="1"/>
    </xf>
    <xf numFmtId="0" fontId="6" fillId="0" borderId="8" xfId="4" applyFont="1" applyFill="1" applyBorder="1" applyAlignment="1">
      <alignment horizontal="left" vertical="center"/>
    </xf>
    <xf numFmtId="3" fontId="37" fillId="0" borderId="8" xfId="4" applyNumberFormat="1" applyFont="1" applyFill="1" applyBorder="1" applyAlignment="1">
      <alignment horizontal="right" vertical="center" wrapText="1"/>
    </xf>
    <xf numFmtId="3" fontId="6" fillId="0" borderId="8" xfId="4" applyNumberFormat="1" applyFont="1" applyFill="1" applyBorder="1" applyAlignment="1">
      <alignment horizontal="center" vertical="center" wrapText="1"/>
    </xf>
    <xf numFmtId="9" fontId="37" fillId="0" borderId="3" xfId="146" applyNumberFormat="1" applyFont="1" applyFill="1" applyBorder="1" applyAlignment="1">
      <alignment horizontal="right" vertical="center"/>
    </xf>
    <xf numFmtId="9" fontId="4" fillId="0" borderId="3" xfId="146" applyNumberFormat="1" applyFont="1" applyFill="1" applyBorder="1" applyAlignment="1">
      <alignment horizontal="right" vertical="center"/>
    </xf>
    <xf numFmtId="0" fontId="4" fillId="0" borderId="0" xfId="4" applyFont="1" applyFill="1" applyBorder="1" applyAlignment="1">
      <alignment horizontal="center" vertical="center" wrapText="1"/>
    </xf>
    <xf numFmtId="3" fontId="4" fillId="0" borderId="3" xfId="147" applyNumberFormat="1" applyFont="1" applyFill="1" applyBorder="1" applyAlignment="1">
      <alignment horizontal="right" vertical="center"/>
    </xf>
    <xf numFmtId="0" fontId="8" fillId="0" borderId="0" xfId="4" applyFont="1" applyFill="1" applyBorder="1" applyAlignment="1">
      <alignment horizontal="center" vertical="center" wrapText="1"/>
    </xf>
    <xf numFmtId="0" fontId="8" fillId="0" borderId="0" xfId="146" applyFont="1" applyFill="1" applyAlignment="1">
      <alignment vertical="center"/>
    </xf>
    <xf numFmtId="0" fontId="4" fillId="0" borderId="0" xfId="4" applyFont="1" applyFill="1" applyBorder="1" applyAlignment="1">
      <alignment horizontal="left" vertical="center"/>
    </xf>
    <xf numFmtId="0" fontId="6" fillId="0" borderId="3" xfId="4" applyFont="1" applyFill="1" applyBorder="1" applyAlignment="1">
      <alignment horizontal="justify" vertical="center"/>
    </xf>
    <xf numFmtId="169" fontId="37" fillId="0" borderId="3" xfId="4" applyNumberFormat="1" applyFont="1" applyFill="1" applyBorder="1" applyAlignment="1">
      <alignment horizontal="right" vertical="center" wrapText="1"/>
    </xf>
    <xf numFmtId="9" fontId="37" fillId="0" borderId="3" xfId="4" applyNumberFormat="1" applyFont="1" applyFill="1" applyBorder="1" applyAlignment="1">
      <alignment horizontal="right" vertical="center" wrapText="1"/>
    </xf>
    <xf numFmtId="0" fontId="4" fillId="0" borderId="3" xfId="146" applyFont="1" applyFill="1" applyBorder="1" applyAlignment="1">
      <alignment vertical="center" wrapText="1"/>
    </xf>
    <xf numFmtId="0" fontId="4" fillId="0" borderId="0" xfId="146" applyFont="1" applyFill="1" applyBorder="1" applyAlignment="1">
      <alignment vertical="center" wrapText="1"/>
    </xf>
    <xf numFmtId="0" fontId="37" fillId="0" borderId="3" xfId="4" applyFont="1" applyFill="1" applyBorder="1" applyAlignment="1">
      <alignment horizontal="center" vertical="center" wrapText="1"/>
    </xf>
    <xf numFmtId="0" fontId="37" fillId="0" borderId="3" xfId="4" applyFont="1" applyFill="1" applyBorder="1" applyAlignment="1">
      <alignment vertical="center" wrapText="1"/>
    </xf>
    <xf numFmtId="3" fontId="37" fillId="0" borderId="3" xfId="4" applyNumberFormat="1" applyFont="1" applyFill="1" applyBorder="1" applyAlignment="1">
      <alignment vertical="center" wrapText="1"/>
    </xf>
    <xf numFmtId="3" fontId="6" fillId="0" borderId="8" xfId="4" applyNumberFormat="1" applyFont="1" applyFill="1" applyBorder="1" applyAlignment="1">
      <alignment vertical="center" wrapText="1"/>
    </xf>
    <xf numFmtId="0" fontId="5" fillId="0" borderId="3" xfId="4" applyFont="1" applyFill="1" applyBorder="1" applyAlignment="1">
      <alignment horizontal="center" vertical="center" wrapText="1"/>
    </xf>
    <xf numFmtId="0" fontId="5" fillId="0" borderId="3" xfId="4" applyFont="1" applyFill="1" applyBorder="1" applyAlignment="1">
      <alignment vertical="center" wrapText="1"/>
    </xf>
    <xf numFmtId="3" fontId="5" fillId="0" borderId="3" xfId="4" applyNumberFormat="1" applyFont="1" applyFill="1" applyBorder="1" applyAlignment="1">
      <alignment vertical="center" wrapText="1"/>
    </xf>
    <xf numFmtId="9" fontId="5" fillId="0" borderId="3" xfId="4" applyNumberFormat="1" applyFont="1" applyFill="1" applyBorder="1" applyAlignment="1">
      <alignment horizontal="right" vertical="center" wrapText="1"/>
    </xf>
    <xf numFmtId="0" fontId="8" fillId="0" borderId="3" xfId="146" applyFont="1" applyFill="1" applyBorder="1" applyAlignment="1">
      <alignment vertical="center" wrapText="1"/>
    </xf>
    <xf numFmtId="0" fontId="8" fillId="0" borderId="0" xfId="146" applyFont="1" applyFill="1" applyBorder="1" applyAlignment="1">
      <alignment vertical="center" wrapText="1"/>
    </xf>
    <xf numFmtId="0" fontId="4" fillId="0" borderId="3" xfId="146" applyFont="1" applyFill="1" applyBorder="1" applyAlignment="1">
      <alignment horizontal="center" vertical="center"/>
    </xf>
    <xf numFmtId="0" fontId="4" fillId="0" borderId="3" xfId="132" applyFont="1" applyFill="1" applyBorder="1" applyAlignment="1">
      <alignment vertical="center" wrapText="1"/>
    </xf>
    <xf numFmtId="0" fontId="4" fillId="0" borderId="3" xfId="146" applyFont="1" applyFill="1" applyBorder="1" applyAlignment="1">
      <alignment horizontal="justify" vertical="center" wrapText="1"/>
    </xf>
    <xf numFmtId="3" fontId="4" fillId="0" borderId="3" xfId="146" applyNumberFormat="1" applyFont="1" applyFill="1" applyBorder="1" applyAlignment="1">
      <alignment vertical="center"/>
    </xf>
    <xf numFmtId="0" fontId="38" fillId="0" borderId="3" xfId="146" applyFont="1" applyFill="1" applyBorder="1" applyAlignment="1">
      <alignment horizontal="left" vertical="center" wrapText="1"/>
    </xf>
    <xf numFmtId="0" fontId="4" fillId="0" borderId="3" xfId="148" applyFont="1" applyFill="1" applyBorder="1" applyAlignment="1">
      <alignment wrapText="1"/>
    </xf>
    <xf numFmtId="0" fontId="4" fillId="0" borderId="0" xfId="148" applyFont="1" applyFill="1" applyBorder="1" applyAlignment="1">
      <alignment wrapText="1"/>
    </xf>
    <xf numFmtId="0" fontId="4" fillId="0" borderId="0" xfId="146" applyFont="1" applyFill="1" applyBorder="1" applyAlignment="1">
      <alignment vertical="center"/>
    </xf>
    <xf numFmtId="0" fontId="6" fillId="0" borderId="0" xfId="146" applyFont="1" applyFill="1" applyAlignment="1">
      <alignment vertical="center"/>
    </xf>
    <xf numFmtId="0" fontId="4" fillId="0" borderId="3" xfId="146" applyFont="1" applyFill="1" applyBorder="1" applyAlignment="1">
      <alignment horizontal="center" vertical="center" wrapText="1"/>
    </xf>
    <xf numFmtId="0" fontId="4" fillId="0" borderId="3" xfId="132" applyFont="1" applyFill="1" applyBorder="1" applyAlignment="1">
      <alignment horizontal="justify" vertical="center" wrapText="1"/>
    </xf>
    <xf numFmtId="0" fontId="4" fillId="0" borderId="3" xfId="148" applyNumberFormat="1" applyFont="1" applyFill="1" applyBorder="1" applyAlignment="1">
      <alignment horizontal="justify" vertical="center" wrapText="1"/>
    </xf>
    <xf numFmtId="0" fontId="38" fillId="0" borderId="3" xfId="148" applyNumberFormat="1" applyFont="1" applyFill="1" applyBorder="1" applyAlignment="1">
      <alignment horizontal="justify"/>
    </xf>
    <xf numFmtId="3" fontId="4" fillId="0" borderId="3" xfId="148" applyNumberFormat="1" applyFont="1" applyFill="1" applyBorder="1" applyAlignment="1">
      <alignment horizontal="right" vertical="center" wrapText="1"/>
    </xf>
    <xf numFmtId="0" fontId="5" fillId="0" borderId="0" xfId="146" applyFont="1" applyFill="1" applyBorder="1" applyAlignment="1">
      <alignment vertical="center"/>
    </xf>
    <xf numFmtId="0" fontId="5" fillId="0" borderId="0" xfId="146" applyFont="1" applyFill="1" applyAlignment="1">
      <alignment vertical="center"/>
    </xf>
    <xf numFmtId="0" fontId="4" fillId="0" borderId="0" xfId="148" applyFont="1" applyFill="1"/>
    <xf numFmtId="0" fontId="4" fillId="0" borderId="3" xfId="148" applyNumberFormat="1" applyFont="1" applyFill="1" applyBorder="1" applyAlignment="1">
      <alignment horizontal="justify" vertical="center"/>
    </xf>
    <xf numFmtId="0" fontId="4" fillId="0" borderId="0" xfId="148" applyFont="1" applyFill="1" applyAlignment="1"/>
    <xf numFmtId="0" fontId="39" fillId="0" borderId="3" xfId="148" applyNumberFormat="1" applyFont="1" applyFill="1" applyBorder="1" applyAlignment="1">
      <alignment horizontal="justify" vertical="center"/>
    </xf>
    <xf numFmtId="0" fontId="4" fillId="0" borderId="0" xfId="148" applyFont="1" applyFill="1" applyBorder="1" applyAlignment="1"/>
    <xf numFmtId="0" fontId="4" fillId="0" borderId="3" xfId="18" applyFont="1" applyFill="1" applyBorder="1" applyAlignment="1">
      <alignment horizontal="left" vertical="center" wrapText="1"/>
    </xf>
    <xf numFmtId="3" fontId="4" fillId="0" borderId="3" xfId="4" applyNumberFormat="1" applyFont="1" applyFill="1" applyBorder="1" applyAlignment="1">
      <alignment horizontal="justify" vertical="center"/>
    </xf>
    <xf numFmtId="3" fontId="4" fillId="0" borderId="3" xfId="4" applyNumberFormat="1" applyFont="1" applyFill="1" applyBorder="1" applyAlignment="1">
      <alignment vertical="center" wrapText="1"/>
    </xf>
    <xf numFmtId="3" fontId="4" fillId="0" borderId="3" xfId="4" applyNumberFormat="1" applyFont="1" applyFill="1" applyBorder="1" applyAlignment="1">
      <alignment horizontal="justify" vertical="center" wrapText="1"/>
    </xf>
    <xf numFmtId="3" fontId="4" fillId="0" borderId="3" xfId="146" applyNumberFormat="1" applyFont="1" applyFill="1" applyBorder="1" applyAlignment="1">
      <alignment vertical="center" wrapText="1"/>
    </xf>
    <xf numFmtId="3" fontId="4" fillId="0" borderId="0" xfId="146" applyNumberFormat="1" applyFont="1" applyFill="1" applyBorder="1" applyAlignment="1">
      <alignment vertical="center" wrapText="1"/>
    </xf>
    <xf numFmtId="0" fontId="4" fillId="0" borderId="3" xfId="75" applyFont="1" applyFill="1" applyBorder="1" applyAlignment="1">
      <alignment horizontal="center" vertical="center" wrapText="1"/>
    </xf>
    <xf numFmtId="0" fontId="4" fillId="0" borderId="3" xfId="86" applyNumberFormat="1" applyFont="1" applyFill="1" applyBorder="1" applyAlignment="1">
      <alignment horizontal="justify" vertical="center"/>
    </xf>
    <xf numFmtId="3" fontId="4" fillId="0" borderId="3" xfId="75" applyNumberFormat="1" applyFont="1" applyFill="1" applyBorder="1" applyAlignment="1">
      <alignment vertical="center" wrapText="1"/>
    </xf>
    <xf numFmtId="0" fontId="4" fillId="0" borderId="3" xfId="86" applyNumberFormat="1" applyFont="1" applyFill="1" applyBorder="1" applyAlignment="1">
      <alignment horizontal="justify" vertical="top" wrapText="1"/>
    </xf>
    <xf numFmtId="3" fontId="4" fillId="0" borderId="3" xfId="133" applyNumberFormat="1" applyFont="1" applyFill="1" applyBorder="1" applyAlignment="1">
      <alignment horizontal="right" vertical="center"/>
    </xf>
    <xf numFmtId="0" fontId="4" fillId="0" borderId="3" xfId="146" applyFont="1" applyFill="1" applyBorder="1" applyAlignment="1">
      <alignment wrapText="1"/>
    </xf>
    <xf numFmtId="0" fontId="4" fillId="0" borderId="0" xfId="146" applyFont="1" applyFill="1" applyBorder="1" applyAlignment="1">
      <alignment wrapText="1"/>
    </xf>
    <xf numFmtId="0" fontId="4" fillId="0" borderId="0" xfId="146" applyFont="1" applyFill="1" applyAlignment="1"/>
    <xf numFmtId="0" fontId="4" fillId="0" borderId="0" xfId="146" applyFont="1" applyFill="1"/>
    <xf numFmtId="3" fontId="5" fillId="0" borderId="3" xfId="146" applyNumberFormat="1" applyFont="1" applyFill="1" applyBorder="1" applyAlignment="1">
      <alignment horizontal="center" vertical="center"/>
    </xf>
    <xf numFmtId="0" fontId="5" fillId="0" borderId="3" xfId="148" applyFont="1" applyFill="1" applyBorder="1" applyAlignment="1">
      <alignment horizontal="justify" vertical="center"/>
    </xf>
    <xf numFmtId="0" fontId="5" fillId="0" borderId="3" xfId="146" applyFont="1" applyFill="1" applyBorder="1" applyAlignment="1">
      <alignment vertical="center" wrapText="1"/>
    </xf>
    <xf numFmtId="0" fontId="5" fillId="0" borderId="0" xfId="146" applyFont="1" applyFill="1" applyBorder="1" applyAlignment="1">
      <alignment vertical="center" wrapText="1"/>
    </xf>
    <xf numFmtId="3" fontId="4" fillId="0" borderId="3" xfId="146" applyNumberFormat="1" applyFont="1" applyFill="1" applyBorder="1" applyAlignment="1">
      <alignment horizontal="center" vertical="center"/>
    </xf>
    <xf numFmtId="0" fontId="4" fillId="0" borderId="3" xfId="148" applyNumberFormat="1" applyFont="1" applyFill="1" applyBorder="1" applyAlignment="1">
      <alignment horizontal="justify" vertical="center" wrapText="1" readingOrder="2"/>
    </xf>
    <xf numFmtId="9" fontId="4" fillId="0" borderId="3" xfId="147" applyNumberFormat="1" applyFont="1" applyFill="1" applyBorder="1" applyAlignment="1">
      <alignment horizontal="right" vertical="center"/>
    </xf>
    <xf numFmtId="3" fontId="8" fillId="0" borderId="3" xfId="146" applyNumberFormat="1" applyFont="1" applyFill="1" applyBorder="1" applyAlignment="1">
      <alignment horizontal="center" vertical="center"/>
    </xf>
    <xf numFmtId="0" fontId="8" fillId="0" borderId="3" xfId="148" applyNumberFormat="1" applyFont="1" applyFill="1" applyBorder="1" applyAlignment="1">
      <alignment horizontal="justify" vertical="center" wrapText="1"/>
    </xf>
    <xf numFmtId="3" fontId="8" fillId="0" borderId="3" xfId="4" applyNumberFormat="1" applyFont="1" applyFill="1" applyBorder="1" applyAlignment="1">
      <alignment vertical="center" wrapText="1"/>
    </xf>
    <xf numFmtId="0" fontId="39" fillId="0" borderId="3" xfId="148" applyNumberFormat="1" applyFont="1" applyFill="1" applyBorder="1" applyAlignment="1">
      <alignment horizontal="justify"/>
    </xf>
    <xf numFmtId="3" fontId="8" fillId="0" borderId="3" xfId="146" applyNumberFormat="1" applyFont="1" applyFill="1" applyBorder="1" applyAlignment="1">
      <alignment horizontal="right" vertical="center"/>
    </xf>
    <xf numFmtId="3" fontId="8" fillId="0" borderId="3" xfId="147" applyNumberFormat="1" applyFont="1" applyFill="1" applyBorder="1" applyAlignment="1">
      <alignment horizontal="right" vertical="center"/>
    </xf>
    <xf numFmtId="9" fontId="8" fillId="0" borderId="3" xfId="147" applyNumberFormat="1" applyFont="1" applyFill="1" applyBorder="1" applyAlignment="1">
      <alignment horizontal="right" vertical="center"/>
    </xf>
    <xf numFmtId="0" fontId="8" fillId="0" borderId="3" xfId="148" applyNumberFormat="1" applyFont="1" applyFill="1" applyBorder="1" applyAlignment="1">
      <alignment horizontal="justify" vertical="center"/>
    </xf>
    <xf numFmtId="3" fontId="4" fillId="0" borderId="3" xfId="146" applyNumberFormat="1" applyFont="1" applyFill="1" applyBorder="1" applyAlignment="1">
      <alignment horizontal="right" vertical="center"/>
    </xf>
    <xf numFmtId="0" fontId="8" fillId="0" borderId="3" xfId="146" applyFont="1" applyFill="1" applyBorder="1" applyAlignment="1">
      <alignment vertical="center"/>
    </xf>
    <xf numFmtId="3" fontId="8" fillId="0" borderId="3" xfId="146" applyNumberFormat="1" applyFont="1" applyFill="1" applyBorder="1" applyAlignment="1">
      <alignment vertical="center"/>
    </xf>
    <xf numFmtId="0" fontId="8" fillId="0" borderId="0" xfId="146" applyFont="1" applyFill="1" applyBorder="1" applyAlignment="1">
      <alignment vertical="center"/>
    </xf>
    <xf numFmtId="3" fontId="4" fillId="0" borderId="3" xfId="146" applyNumberFormat="1" applyFont="1" applyFill="1" applyBorder="1" applyAlignment="1">
      <alignment horizontal="justify" vertical="center"/>
    </xf>
    <xf numFmtId="3" fontId="8" fillId="0" borderId="3" xfId="146" applyNumberFormat="1" applyFont="1" applyFill="1" applyBorder="1" applyAlignment="1">
      <alignment horizontal="center" vertical="center" wrapText="1"/>
    </xf>
    <xf numFmtId="3" fontId="8" fillId="0" borderId="3" xfId="146" quotePrefix="1" applyNumberFormat="1" applyFont="1" applyFill="1" applyBorder="1" applyAlignment="1">
      <alignment vertical="center" wrapText="1"/>
    </xf>
    <xf numFmtId="3" fontId="8" fillId="0" borderId="3" xfId="146" applyNumberFormat="1" applyFont="1" applyFill="1" applyBorder="1" applyAlignment="1">
      <alignment vertical="center" wrapText="1"/>
    </xf>
    <xf numFmtId="0" fontId="40" fillId="0" borderId="3" xfId="148" applyNumberFormat="1" applyFont="1" applyFill="1" applyBorder="1" applyAlignment="1">
      <alignment horizontal="justify" vertical="center" wrapText="1"/>
    </xf>
    <xf numFmtId="3" fontId="8" fillId="0" borderId="3" xfId="146" applyNumberFormat="1" applyFont="1" applyFill="1" applyBorder="1" applyAlignment="1">
      <alignment horizontal="right" vertical="center" wrapText="1"/>
    </xf>
    <xf numFmtId="0" fontId="5" fillId="0" borderId="0" xfId="146" applyFont="1" applyFill="1" applyAlignment="1">
      <alignment vertical="center" wrapText="1"/>
    </xf>
    <xf numFmtId="3" fontId="39" fillId="0" borderId="3" xfId="146" applyNumberFormat="1" applyFont="1" applyFill="1" applyBorder="1" applyAlignment="1">
      <alignment vertical="center"/>
    </xf>
    <xf numFmtId="3" fontId="6" fillId="0" borderId="3" xfId="146" applyNumberFormat="1" applyFont="1" applyFill="1" applyBorder="1" applyAlignment="1">
      <alignment horizontal="justify" vertical="center"/>
    </xf>
    <xf numFmtId="3" fontId="37" fillId="0" borderId="3" xfId="146" applyNumberFormat="1" applyFont="1" applyFill="1" applyBorder="1" applyAlignment="1">
      <alignment vertical="center"/>
    </xf>
    <xf numFmtId="3" fontId="6" fillId="0" borderId="3" xfId="146" applyNumberFormat="1" applyFont="1" applyFill="1" applyBorder="1" applyAlignment="1">
      <alignment vertical="center"/>
    </xf>
    <xf numFmtId="0" fontId="6" fillId="0" borderId="3" xfId="146" applyFont="1" applyFill="1" applyBorder="1" applyAlignment="1">
      <alignment vertical="center" wrapText="1"/>
    </xf>
    <xf numFmtId="0" fontId="6" fillId="0" borderId="0" xfId="146" applyFont="1" applyFill="1" applyBorder="1" applyAlignment="1">
      <alignment vertical="center" wrapText="1"/>
    </xf>
    <xf numFmtId="0" fontId="39" fillId="0" borderId="3" xfId="148" applyNumberFormat="1" applyFont="1" applyFill="1" applyBorder="1" applyAlignment="1">
      <alignment horizontal="justify" vertical="center" wrapText="1"/>
    </xf>
    <xf numFmtId="0" fontId="41" fillId="0" borderId="3" xfId="148" applyNumberFormat="1" applyFont="1" applyFill="1" applyBorder="1" applyAlignment="1">
      <alignment horizontal="justify" vertical="center" wrapText="1"/>
    </xf>
    <xf numFmtId="0" fontId="4" fillId="0" borderId="3" xfId="148" applyFont="1" applyFill="1" applyBorder="1" applyAlignment="1">
      <alignment horizontal="center" vertical="top" wrapText="1"/>
    </xf>
    <xf numFmtId="0" fontId="37" fillId="0" borderId="3" xfId="146" applyFont="1" applyFill="1" applyBorder="1" applyAlignment="1">
      <alignment horizontal="center" vertical="center" wrapText="1"/>
    </xf>
    <xf numFmtId="0" fontId="37" fillId="0" borderId="3" xfId="146" applyFont="1" applyFill="1" applyBorder="1" applyAlignment="1">
      <alignment horizontal="justify" vertical="center" wrapText="1"/>
    </xf>
    <xf numFmtId="3" fontId="6" fillId="0" borderId="3" xfId="4" applyNumberFormat="1" applyFont="1" applyFill="1" applyBorder="1" applyAlignment="1">
      <alignment horizontal="justify" vertical="center"/>
    </xf>
    <xf numFmtId="0" fontId="5" fillId="0" borderId="3" xfId="146" applyFont="1" applyFill="1" applyBorder="1" applyAlignment="1">
      <alignment horizontal="center" vertical="center" wrapText="1"/>
    </xf>
    <xf numFmtId="0" fontId="5" fillId="0" borderId="3" xfId="146" applyFont="1" applyFill="1" applyBorder="1" applyAlignment="1">
      <alignment horizontal="justify" vertical="center" wrapText="1"/>
    </xf>
    <xf numFmtId="3" fontId="5" fillId="0" borderId="3" xfId="4" applyNumberFormat="1" applyFont="1" applyFill="1" applyBorder="1" applyAlignment="1">
      <alignment horizontal="justify" vertical="center"/>
    </xf>
    <xf numFmtId="9" fontId="5" fillId="0" borderId="3" xfId="146" applyNumberFormat="1" applyFont="1" applyFill="1" applyBorder="1" applyAlignment="1">
      <alignment horizontal="right" vertical="center"/>
    </xf>
    <xf numFmtId="0" fontId="4" fillId="0" borderId="3" xfId="146" applyFont="1" applyFill="1" applyBorder="1" applyAlignment="1">
      <alignment vertical="center"/>
    </xf>
    <xf numFmtId="3" fontId="4" fillId="0" borderId="3" xfId="146" quotePrefix="1" applyNumberFormat="1" applyFont="1" applyFill="1" applyBorder="1" applyAlignment="1">
      <alignment horizontal="justify" vertical="center"/>
    </xf>
    <xf numFmtId="3" fontId="4" fillId="0" borderId="3" xfId="146" quotePrefix="1" applyNumberFormat="1" applyFont="1" applyFill="1" applyBorder="1" applyAlignment="1">
      <alignment horizontal="justify" vertical="justify" wrapText="1"/>
    </xf>
    <xf numFmtId="0" fontId="4" fillId="0" borderId="3" xfId="146" applyFont="1" applyFill="1" applyBorder="1" applyAlignment="1">
      <alignment horizontal="left" vertical="center" wrapText="1"/>
    </xf>
    <xf numFmtId="0" fontId="4" fillId="0" borderId="3" xfId="146" quotePrefix="1" applyFont="1" applyFill="1" applyBorder="1" applyAlignment="1">
      <alignment horizontal="justify" vertical="center"/>
    </xf>
    <xf numFmtId="169" fontId="4" fillId="0" borderId="3" xfId="134" applyNumberFormat="1" applyFont="1" applyFill="1" applyBorder="1" applyAlignment="1">
      <alignment horizontal="right" vertical="center" wrapText="1"/>
    </xf>
    <xf numFmtId="0" fontId="4" fillId="0" borderId="3" xfId="146" quotePrefix="1" applyFont="1" applyFill="1" applyBorder="1" applyAlignment="1">
      <alignment horizontal="justify" vertical="justify" wrapText="1"/>
    </xf>
    <xf numFmtId="3" fontId="4" fillId="0" borderId="3" xfId="134" applyNumberFormat="1" applyFont="1" applyFill="1" applyBorder="1" applyAlignment="1">
      <alignment horizontal="right" vertical="center" wrapText="1"/>
    </xf>
    <xf numFmtId="0" fontId="4" fillId="0" borderId="3" xfId="146" applyFont="1" applyFill="1" applyBorder="1" applyAlignment="1"/>
    <xf numFmtId="3" fontId="38" fillId="0" borderId="3" xfId="146" quotePrefix="1" applyNumberFormat="1" applyFont="1" applyFill="1" applyBorder="1" applyAlignment="1">
      <alignment horizontal="justify" vertical="justify" wrapText="1"/>
    </xf>
    <xf numFmtId="0" fontId="4" fillId="0" borderId="3" xfId="148" applyFont="1" applyFill="1" applyBorder="1" applyAlignment="1">
      <alignment horizontal="center" vertical="center" wrapText="1"/>
    </xf>
    <xf numFmtId="0" fontId="4" fillId="0" borderId="3" xfId="148" applyNumberFormat="1" applyFont="1" applyFill="1" applyBorder="1" applyAlignment="1">
      <alignment horizontal="justify"/>
    </xf>
    <xf numFmtId="0" fontId="4" fillId="0" borderId="3" xfId="4" applyFont="1" applyFill="1" applyBorder="1" applyAlignment="1">
      <alignment vertical="center" wrapText="1"/>
    </xf>
    <xf numFmtId="9" fontId="4" fillId="0" borderId="3" xfId="4" applyNumberFormat="1" applyFont="1" applyFill="1" applyBorder="1" applyAlignment="1">
      <alignment horizontal="right" vertical="center" wrapText="1"/>
    </xf>
    <xf numFmtId="0" fontId="4" fillId="0" borderId="4" xfId="146" applyFont="1" applyFill="1" applyBorder="1" applyAlignment="1">
      <alignment horizontal="center" vertical="center" wrapText="1"/>
    </xf>
    <xf numFmtId="0" fontId="4" fillId="0" borderId="4" xfId="146" applyFont="1" applyFill="1" applyBorder="1" applyAlignment="1">
      <alignment horizontal="justify" vertical="center" wrapText="1"/>
    </xf>
    <xf numFmtId="3" fontId="4" fillId="0" borderId="4" xfId="4" applyNumberFormat="1" applyFont="1" applyFill="1" applyBorder="1" applyAlignment="1">
      <alignment horizontal="justify" vertical="center"/>
    </xf>
    <xf numFmtId="3" fontId="6" fillId="0" borderId="4" xfId="146" applyNumberFormat="1" applyFont="1" applyFill="1" applyBorder="1" applyAlignment="1">
      <alignment vertical="center"/>
    </xf>
    <xf numFmtId="3" fontId="4" fillId="0" borderId="6" xfId="4" applyNumberFormat="1" applyFont="1" applyFill="1" applyBorder="1" applyAlignment="1">
      <alignment horizontal="justify" vertical="center" wrapText="1"/>
    </xf>
    <xf numFmtId="9" fontId="6" fillId="0" borderId="4" xfId="146" applyNumberFormat="1" applyFont="1" applyFill="1" applyBorder="1" applyAlignment="1">
      <alignment horizontal="right" vertical="center"/>
    </xf>
    <xf numFmtId="0" fontId="6" fillId="0" borderId="4" xfId="146" applyFont="1" applyFill="1" applyBorder="1" applyAlignment="1">
      <alignment vertical="center" wrapText="1"/>
    </xf>
    <xf numFmtId="0" fontId="4" fillId="0" borderId="3" xfId="4" applyFont="1" applyFill="1" applyBorder="1" applyAlignment="1">
      <alignment horizontal="justify" vertical="center"/>
    </xf>
    <xf numFmtId="0" fontId="4" fillId="0" borderId="8" xfId="4" applyFont="1" applyFill="1" applyBorder="1" applyAlignment="1">
      <alignment horizontal="justify" vertical="center" wrapText="1"/>
    </xf>
    <xf numFmtId="0" fontId="4" fillId="0" borderId="3" xfId="148" applyFont="1" applyFill="1" applyBorder="1"/>
    <xf numFmtId="3" fontId="4" fillId="0" borderId="3" xfId="4" applyNumberFormat="1" applyFont="1" applyFill="1" applyBorder="1" applyAlignment="1">
      <alignment horizontal="justify" vertical="justify"/>
    </xf>
    <xf numFmtId="0" fontId="4" fillId="0" borderId="3" xfId="146" quotePrefix="1" applyFont="1" applyFill="1" applyBorder="1" applyAlignment="1">
      <alignment horizontal="justify"/>
    </xf>
    <xf numFmtId="3" fontId="4" fillId="0" borderId="3" xfId="132" quotePrefix="1" applyNumberFormat="1" applyFont="1" applyFill="1" applyBorder="1" applyAlignment="1">
      <alignment horizontal="justify" vertical="center"/>
    </xf>
    <xf numFmtId="3" fontId="4" fillId="0" borderId="3" xfId="29" applyNumberFormat="1" applyFont="1" applyFill="1" applyBorder="1" applyAlignment="1" applyProtection="1">
      <alignment horizontal="right" vertical="center" wrapText="1"/>
      <protection hidden="1"/>
    </xf>
    <xf numFmtId="3" fontId="4" fillId="0" borderId="3" xfId="132" quotePrefix="1"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xf>
    <xf numFmtId="3" fontId="8" fillId="0" borderId="3" xfId="4" quotePrefix="1" applyNumberFormat="1" applyFont="1" applyFill="1" applyBorder="1" applyAlignment="1">
      <alignment horizontal="justify" vertical="center"/>
    </xf>
    <xf numFmtId="0" fontId="4" fillId="0" borderId="3" xfId="146" applyFont="1" applyFill="1" applyBorder="1" applyAlignment="1">
      <alignment horizontal="justify" vertical="center"/>
    </xf>
    <xf numFmtId="3" fontId="4" fillId="0" borderId="3" xfId="146" applyNumberFormat="1" applyFont="1" applyFill="1" applyBorder="1" applyAlignment="1">
      <alignment horizontal="right" vertical="center" wrapText="1"/>
    </xf>
    <xf numFmtId="0" fontId="4" fillId="0" borderId="3" xfId="83" applyFont="1" applyFill="1" applyBorder="1" applyAlignment="1">
      <alignment horizontal="justify" vertical="center"/>
    </xf>
    <xf numFmtId="0" fontId="4" fillId="0" borderId="3" xfId="83" applyFont="1" applyFill="1" applyBorder="1" applyAlignment="1">
      <alignment horizontal="justify" vertical="center" wrapText="1"/>
    </xf>
    <xf numFmtId="0" fontId="4" fillId="0" borderId="3" xfId="146" applyNumberFormat="1" applyFont="1" applyFill="1" applyBorder="1" applyAlignment="1">
      <alignment vertical="center" wrapText="1"/>
    </xf>
    <xf numFmtId="0" fontId="4" fillId="0" borderId="3" xfId="12" applyFont="1" applyFill="1" applyBorder="1" applyAlignment="1">
      <alignment horizontal="justify" vertical="center"/>
    </xf>
    <xf numFmtId="169" fontId="4" fillId="0" borderId="3" xfId="135" applyNumberFormat="1" applyFont="1" applyFill="1" applyBorder="1" applyAlignment="1">
      <alignment horizontal="right" vertical="center" wrapText="1"/>
    </xf>
    <xf numFmtId="0" fontId="4" fillId="0" borderId="3" xfId="12" applyFont="1" applyFill="1" applyBorder="1" applyAlignment="1">
      <alignment horizontal="left" vertical="center" wrapText="1"/>
    </xf>
    <xf numFmtId="0" fontId="4" fillId="0" borderId="0" xfId="146" applyFont="1" applyFill="1" applyBorder="1" applyAlignment="1">
      <alignment horizontal="left" vertical="center"/>
    </xf>
    <xf numFmtId="3" fontId="4" fillId="0" borderId="3" xfId="133" applyNumberFormat="1" applyFont="1" applyFill="1" applyBorder="1" applyAlignment="1">
      <alignment vertical="center"/>
    </xf>
    <xf numFmtId="0" fontId="4" fillId="0" borderId="3" xfId="86" applyNumberFormat="1" applyFont="1" applyFill="1" applyBorder="1" applyAlignment="1">
      <alignment horizontal="justify" wrapText="1"/>
    </xf>
    <xf numFmtId="0" fontId="4" fillId="0" borderId="6" xfId="148" applyNumberFormat="1" applyFont="1" applyFill="1" applyBorder="1" applyAlignment="1">
      <alignment horizontal="justify"/>
    </xf>
    <xf numFmtId="0" fontId="38" fillId="0" borderId="8" xfId="148" applyNumberFormat="1" applyFont="1" applyFill="1" applyBorder="1" applyAlignment="1">
      <alignment horizontal="justify"/>
    </xf>
    <xf numFmtId="0" fontId="4" fillId="0" borderId="8" xfId="148" applyFont="1" applyFill="1" applyBorder="1" applyAlignment="1"/>
    <xf numFmtId="0" fontId="4" fillId="0" borderId="3" xfId="148" applyFont="1" applyFill="1" applyBorder="1" applyAlignment="1">
      <alignment horizontal="justify" vertical="center" wrapText="1"/>
    </xf>
    <xf numFmtId="0" fontId="4" fillId="0" borderId="3" xfId="148" applyFont="1" applyFill="1" applyBorder="1" applyAlignment="1"/>
    <xf numFmtId="3" fontId="4" fillId="0" borderId="3" xfId="135" applyNumberFormat="1" applyFont="1" applyFill="1" applyBorder="1" applyAlignment="1">
      <alignment horizontal="right" vertical="center" wrapText="1"/>
    </xf>
    <xf numFmtId="3" fontId="8" fillId="0" borderId="3" xfId="135" applyNumberFormat="1" applyFont="1" applyFill="1" applyBorder="1" applyAlignment="1">
      <alignment horizontal="right" vertical="center" wrapText="1"/>
    </xf>
    <xf numFmtId="0" fontId="39" fillId="0" borderId="3" xfId="12" applyFont="1" applyFill="1" applyBorder="1" applyAlignment="1">
      <alignment horizontal="left" vertical="center" wrapText="1"/>
    </xf>
    <xf numFmtId="0" fontId="8" fillId="0" borderId="3" xfId="146" quotePrefix="1" applyFont="1" applyFill="1" applyBorder="1" applyAlignment="1">
      <alignment horizontal="justify" vertical="center"/>
    </xf>
    <xf numFmtId="0" fontId="8" fillId="0" borderId="3" xfId="146" applyFont="1" applyFill="1" applyBorder="1" applyAlignment="1">
      <alignment horizontal="center" vertical="center"/>
    </xf>
    <xf numFmtId="3" fontId="42" fillId="0" borderId="0" xfId="146" applyNumberFormat="1" applyFont="1"/>
    <xf numFmtId="0" fontId="6" fillId="0" borderId="0" xfId="146" applyFont="1" applyFill="1" applyBorder="1" applyAlignment="1">
      <alignment vertical="center"/>
    </xf>
    <xf numFmtId="0" fontId="4" fillId="0" borderId="3" xfId="5" applyFont="1" applyFill="1" applyBorder="1" applyAlignment="1">
      <alignment vertical="center" wrapText="1"/>
    </xf>
    <xf numFmtId="0" fontId="6" fillId="0" borderId="9" xfId="146" applyFont="1" applyFill="1" applyBorder="1" applyAlignment="1">
      <alignment vertical="center" wrapText="1"/>
    </xf>
    <xf numFmtId="3" fontId="4" fillId="0" borderId="3" xfId="132" applyNumberFormat="1" applyFont="1" applyFill="1" applyBorder="1" applyAlignment="1">
      <alignment horizontal="left" vertical="center" wrapText="1"/>
    </xf>
    <xf numFmtId="3" fontId="4" fillId="0" borderId="3" xfId="146" applyNumberFormat="1" applyFont="1" applyFill="1" applyBorder="1" applyAlignment="1">
      <alignment wrapText="1"/>
    </xf>
    <xf numFmtId="3" fontId="4" fillId="0" borderId="5" xfId="147" applyNumberFormat="1" applyFont="1" applyFill="1" applyBorder="1" applyAlignment="1">
      <alignment horizontal="right" vertical="center"/>
    </xf>
    <xf numFmtId="3" fontId="4" fillId="0" borderId="3" xfId="146" quotePrefix="1" applyNumberFormat="1" applyFont="1" applyFill="1" applyBorder="1" applyAlignment="1">
      <alignment horizontal="justify" vertical="center" wrapText="1"/>
    </xf>
    <xf numFmtId="3" fontId="37" fillId="0" borderId="3" xfId="146" applyNumberFormat="1" applyFont="1" applyFill="1" applyBorder="1" applyAlignment="1">
      <alignment horizontal="right" vertical="center" wrapText="1"/>
    </xf>
    <xf numFmtId="9" fontId="37" fillId="0" borderId="3" xfId="146" applyNumberFormat="1" applyFont="1" applyFill="1" applyBorder="1" applyAlignment="1">
      <alignment horizontal="right" vertical="center" wrapText="1"/>
    </xf>
    <xf numFmtId="0" fontId="4" fillId="0" borderId="3" xfId="17" applyFont="1" applyFill="1" applyBorder="1" applyAlignment="1">
      <alignment horizontal="center" vertical="center"/>
    </xf>
    <xf numFmtId="0" fontId="8" fillId="0" borderId="3" xfId="146" applyFont="1" applyFill="1" applyBorder="1" applyAlignment="1">
      <alignment horizontal="justify" vertical="center" wrapText="1"/>
    </xf>
    <xf numFmtId="3" fontId="37" fillId="0" borderId="3" xfId="7" applyNumberFormat="1" applyFont="1" applyFill="1" applyBorder="1" applyAlignment="1">
      <alignment horizontal="center" vertical="center"/>
    </xf>
    <xf numFmtId="0" fontId="37" fillId="0" borderId="3" xfId="132" applyFont="1" applyFill="1" applyBorder="1" applyAlignment="1">
      <alignment vertical="center" wrapText="1"/>
    </xf>
    <xf numFmtId="0" fontId="6" fillId="0" borderId="3" xfId="7" applyFont="1" applyFill="1" applyBorder="1" applyAlignment="1">
      <alignment horizontal="justify" vertical="center"/>
    </xf>
    <xf numFmtId="3" fontId="37" fillId="0" borderId="3" xfId="148" applyNumberFormat="1" applyFont="1" applyFill="1" applyBorder="1" applyAlignment="1">
      <alignment horizontal="right" vertical="center" wrapText="1"/>
    </xf>
    <xf numFmtId="0" fontId="43" fillId="0" borderId="3" xfId="7" applyFont="1" applyFill="1" applyBorder="1" applyAlignment="1">
      <alignment horizontal="justify" vertical="center" wrapText="1"/>
    </xf>
    <xf numFmtId="0" fontId="6" fillId="0" borderId="3" xfId="18" applyFont="1" applyFill="1" applyBorder="1" applyAlignment="1">
      <alignment horizontal="justify" vertical="center" wrapText="1"/>
    </xf>
    <xf numFmtId="0" fontId="6" fillId="0" borderId="3" xfId="18" applyFont="1" applyFill="1" applyBorder="1" applyAlignment="1">
      <alignment horizontal="justify" vertical="center"/>
    </xf>
    <xf numFmtId="3" fontId="6" fillId="0" borderId="3" xfId="146" applyNumberFormat="1" applyFont="1" applyFill="1" applyBorder="1" applyAlignment="1">
      <alignment horizontal="right" vertical="center" wrapText="1"/>
    </xf>
    <xf numFmtId="0" fontId="44" fillId="0" borderId="3" xfId="18" applyFont="1" applyFill="1" applyBorder="1" applyAlignment="1">
      <alignment horizontal="justify" vertical="center" wrapText="1"/>
    </xf>
    <xf numFmtId="9" fontId="6" fillId="0" borderId="3" xfId="146" applyNumberFormat="1" applyFont="1" applyFill="1" applyBorder="1" applyAlignment="1">
      <alignment horizontal="right" vertical="center" wrapText="1"/>
    </xf>
    <xf numFmtId="0" fontId="8" fillId="0" borderId="3" xfId="148" applyNumberFormat="1" applyFont="1" applyFill="1" applyBorder="1" applyAlignment="1">
      <alignment horizontal="center" vertical="center"/>
    </xf>
    <xf numFmtId="0" fontId="8" fillId="0" borderId="0" xfId="148" applyNumberFormat="1" applyFont="1" applyFill="1" applyBorder="1" applyAlignment="1">
      <alignment horizontal="center" vertical="center"/>
    </xf>
    <xf numFmtId="0" fontId="4" fillId="0" borderId="3" xfId="18" applyFont="1" applyFill="1" applyBorder="1" applyAlignment="1">
      <alignment horizontal="center" vertical="center" wrapText="1"/>
    </xf>
    <xf numFmtId="3" fontId="4" fillId="0" borderId="3" xfId="9" applyNumberFormat="1" applyFont="1" applyFill="1" applyBorder="1" applyAlignment="1">
      <alignment vertical="center" wrapText="1"/>
    </xf>
    <xf numFmtId="3" fontId="4" fillId="0" borderId="3" xfId="18" applyNumberFormat="1" applyFont="1" applyFill="1" applyBorder="1" applyAlignment="1">
      <alignment horizontal="right" vertical="center" wrapText="1"/>
    </xf>
    <xf numFmtId="0" fontId="4" fillId="0" borderId="3" xfId="7" applyFont="1" applyFill="1" applyBorder="1" applyAlignment="1">
      <alignment horizontal="center" vertical="center"/>
    </xf>
    <xf numFmtId="3" fontId="4" fillId="0" borderId="3" xfId="148" applyNumberFormat="1" applyFont="1" applyFill="1" applyBorder="1" applyAlignment="1">
      <alignment horizontal="right" vertical="top" wrapText="1"/>
    </xf>
    <xf numFmtId="0" fontId="4" fillId="0" borderId="3" xfId="9" applyFont="1" applyFill="1" applyBorder="1" applyAlignment="1">
      <alignment vertical="center" wrapText="1"/>
    </xf>
    <xf numFmtId="3" fontId="4" fillId="0" borderId="3" xfId="7" applyNumberFormat="1" applyFont="1" applyFill="1" applyBorder="1" applyAlignment="1">
      <alignment vertical="center"/>
    </xf>
    <xf numFmtId="0" fontId="5" fillId="0" borderId="3" xfId="146" applyFont="1" applyFill="1" applyBorder="1" applyAlignment="1">
      <alignment vertical="center"/>
    </xf>
    <xf numFmtId="0" fontId="6" fillId="0" borderId="6" xfId="146" applyFont="1" applyFill="1" applyBorder="1" applyAlignment="1">
      <alignment horizontal="center" vertical="center"/>
    </xf>
    <xf numFmtId="3" fontId="6" fillId="0" borderId="6" xfId="9" applyNumberFormat="1" applyFont="1" applyFill="1" applyBorder="1" applyAlignment="1">
      <alignment vertical="center" wrapText="1"/>
    </xf>
    <xf numFmtId="0" fontId="4" fillId="0" borderId="6" xfId="7" applyFont="1" applyFill="1" applyBorder="1" applyAlignment="1">
      <alignment horizontal="justify" vertical="center"/>
    </xf>
    <xf numFmtId="3" fontId="6" fillId="0" borderId="6" xfId="146" applyNumberFormat="1" applyFont="1" applyFill="1" applyBorder="1" applyAlignment="1">
      <alignment vertical="center"/>
    </xf>
    <xf numFmtId="0" fontId="4" fillId="0" borderId="6" xfId="7" applyFont="1" applyFill="1" applyBorder="1" applyAlignment="1">
      <alignment horizontal="justify" vertical="center" wrapText="1"/>
    </xf>
    <xf numFmtId="3" fontId="4" fillId="0" borderId="6" xfId="146" applyNumberFormat="1" applyFont="1" applyFill="1" applyBorder="1" applyAlignment="1">
      <alignment horizontal="right" vertical="center"/>
    </xf>
    <xf numFmtId="3" fontId="6" fillId="0" borderId="6" xfId="147" applyNumberFormat="1" applyFont="1" applyFill="1" applyBorder="1" applyAlignment="1">
      <alignment horizontal="right" vertical="center"/>
    </xf>
    <xf numFmtId="9" fontId="6" fillId="0" borderId="6" xfId="147" applyNumberFormat="1" applyFont="1" applyFill="1" applyBorder="1" applyAlignment="1">
      <alignment horizontal="right" vertical="center"/>
    </xf>
    <xf numFmtId="0" fontId="4" fillId="0" borderId="6" xfId="146" applyFont="1" applyFill="1" applyBorder="1" applyAlignment="1">
      <alignment vertical="center" wrapText="1"/>
    </xf>
    <xf numFmtId="0" fontId="4" fillId="0" borderId="0" xfId="146" applyFont="1" applyFill="1" applyAlignment="1">
      <alignment horizontal="center" vertical="center"/>
    </xf>
    <xf numFmtId="3" fontId="4" fillId="0" borderId="0" xfId="146" applyNumberFormat="1" applyFont="1" applyFill="1" applyAlignment="1">
      <alignment vertical="center"/>
    </xf>
    <xf numFmtId="0" fontId="4" fillId="0" borderId="0" xfId="146" applyFont="1" applyFill="1" applyAlignment="1">
      <alignment vertical="center" wrapText="1"/>
    </xf>
    <xf numFmtId="9" fontId="4" fillId="0" borderId="0" xfId="147" applyNumberFormat="1" applyFont="1" applyFill="1" applyAlignment="1">
      <alignment horizontal="right" vertical="center"/>
    </xf>
    <xf numFmtId="0" fontId="4" fillId="0" borderId="0" xfId="3" applyFont="1" applyFill="1" applyAlignment="1">
      <alignment horizontal="center" vertical="center" wrapText="1"/>
    </xf>
    <xf numFmtId="0" fontId="8" fillId="0" borderId="0" xfId="7" applyFont="1" applyFill="1" applyBorder="1" applyAlignment="1">
      <alignment horizontal="right" vertical="center"/>
    </xf>
    <xf numFmtId="0" fontId="6" fillId="0" borderId="2" xfId="132" applyFont="1" applyFill="1" applyBorder="1" applyAlignment="1">
      <alignment horizontal="center" vertical="center" wrapText="1"/>
    </xf>
    <xf numFmtId="3" fontId="6" fillId="0" borderId="2" xfId="132" applyNumberFormat="1" applyFont="1" applyFill="1" applyBorder="1" applyAlignment="1">
      <alignment horizontal="center" vertical="center" wrapText="1"/>
    </xf>
    <xf numFmtId="9" fontId="6" fillId="0" borderId="2" xfId="132" applyNumberFormat="1" applyFont="1" applyFill="1" applyBorder="1" applyAlignment="1">
      <alignment horizontal="center" vertical="center" wrapText="1"/>
    </xf>
    <xf numFmtId="0" fontId="6" fillId="0" borderId="0" xfId="132" applyFont="1" applyFill="1" applyBorder="1" applyAlignment="1">
      <alignment horizontal="center" vertical="center" wrapText="1"/>
    </xf>
    <xf numFmtId="3" fontId="6" fillId="0" borderId="2" xfId="148" applyNumberFormat="1" applyFont="1" applyFill="1" applyBorder="1" applyAlignment="1">
      <alignment horizontal="right" vertical="top" wrapText="1"/>
    </xf>
    <xf numFmtId="0" fontId="4" fillId="0" borderId="2" xfId="132" applyFont="1" applyFill="1" applyBorder="1" applyAlignment="1">
      <alignment horizontal="center" vertical="center" wrapText="1"/>
    </xf>
    <xf numFmtId="9" fontId="6" fillId="0" borderId="2" xfId="132" applyNumberFormat="1" applyFont="1" applyFill="1" applyBorder="1" applyAlignment="1">
      <alignment horizontal="right" vertical="center" wrapText="1"/>
    </xf>
    <xf numFmtId="0" fontId="4" fillId="0" borderId="0" xfId="132" applyFont="1" applyFill="1" applyBorder="1" applyAlignment="1">
      <alignment horizontal="center" vertical="center" wrapText="1"/>
    </xf>
    <xf numFmtId="3" fontId="4" fillId="0" borderId="0" xfId="7" applyNumberFormat="1" applyFont="1" applyFill="1" applyAlignment="1">
      <alignment vertical="center"/>
    </xf>
    <xf numFmtId="3" fontId="6" fillId="0" borderId="8" xfId="7" applyNumberFormat="1" applyFont="1" applyFill="1" applyBorder="1" applyAlignment="1">
      <alignment horizontal="center" vertical="center"/>
    </xf>
    <xf numFmtId="0" fontId="6" fillId="0" borderId="8" xfId="132" applyFont="1" applyFill="1" applyBorder="1" applyAlignment="1">
      <alignment vertical="center" wrapText="1"/>
    </xf>
    <xf numFmtId="3" fontId="6" fillId="0" borderId="8" xfId="148" applyNumberFormat="1" applyFont="1" applyFill="1" applyBorder="1" applyAlignment="1">
      <alignment vertical="center" wrapText="1"/>
    </xf>
    <xf numFmtId="0" fontId="4" fillId="0" borderId="8" xfId="7" applyNumberFormat="1" applyFont="1" applyFill="1" applyBorder="1" applyAlignment="1">
      <alignment vertical="center" wrapText="1"/>
    </xf>
    <xf numFmtId="9" fontId="6" fillId="0" borderId="8" xfId="7" applyNumberFormat="1" applyFont="1" applyFill="1" applyBorder="1" applyAlignment="1">
      <alignment horizontal="right" vertical="center" wrapText="1"/>
    </xf>
    <xf numFmtId="0" fontId="4" fillId="0" borderId="8" xfId="7" applyFont="1" applyFill="1" applyBorder="1" applyAlignment="1">
      <alignment vertical="center"/>
    </xf>
    <xf numFmtId="0" fontId="4" fillId="0" borderId="0" xfId="7" applyFont="1" applyFill="1" applyBorder="1" applyAlignment="1">
      <alignment vertical="center"/>
    </xf>
    <xf numFmtId="0" fontId="4" fillId="0" borderId="3" xfId="132" applyFont="1" applyFill="1" applyBorder="1" applyAlignment="1">
      <alignment horizontal="center" vertical="center" wrapText="1"/>
    </xf>
    <xf numFmtId="3" fontId="4" fillId="0" borderId="3" xfId="132" applyNumberFormat="1" applyFont="1" applyFill="1" applyBorder="1" applyAlignment="1">
      <alignment vertical="center" wrapText="1"/>
    </xf>
    <xf numFmtId="3" fontId="4" fillId="0" borderId="3" xfId="132" quotePrefix="1" applyNumberFormat="1" applyFont="1" applyFill="1" applyBorder="1" applyAlignment="1">
      <alignment vertical="center" wrapText="1"/>
    </xf>
    <xf numFmtId="9" fontId="4" fillId="0" borderId="3" xfId="132" quotePrefix="1" applyNumberFormat="1" applyFont="1" applyFill="1" applyBorder="1" applyAlignment="1">
      <alignment horizontal="right" vertical="center" wrapText="1"/>
    </xf>
    <xf numFmtId="0" fontId="4" fillId="0" borderId="3" xfId="132" applyNumberFormat="1" applyFont="1" applyFill="1" applyBorder="1" applyAlignment="1">
      <alignment vertical="center" wrapText="1"/>
    </xf>
    <xf numFmtId="9" fontId="4" fillId="0" borderId="3" xfId="132" applyNumberFormat="1" applyFont="1" applyFill="1" applyBorder="1" applyAlignment="1">
      <alignment horizontal="right" vertical="center" wrapText="1"/>
    </xf>
    <xf numFmtId="0" fontId="4" fillId="0" borderId="3" xfId="7" applyFont="1" applyFill="1" applyBorder="1" applyAlignment="1">
      <alignment vertical="center"/>
    </xf>
    <xf numFmtId="0" fontId="6" fillId="0" borderId="3" xfId="132" applyFont="1" applyFill="1" applyBorder="1" applyAlignment="1">
      <alignment horizontal="center" vertical="center" wrapText="1"/>
    </xf>
    <xf numFmtId="0" fontId="6" fillId="0" borderId="3" xfId="18" applyFont="1" applyFill="1" applyBorder="1" applyAlignment="1">
      <alignment vertical="center" wrapText="1"/>
    </xf>
    <xf numFmtId="3" fontId="6" fillId="0" borderId="3" xfId="146" applyNumberFormat="1" applyFont="1" applyFill="1" applyBorder="1" applyAlignment="1">
      <alignment vertical="center" wrapText="1"/>
    </xf>
    <xf numFmtId="0" fontId="6" fillId="0" borderId="3" xfId="146" applyFont="1" applyFill="1" applyBorder="1" applyAlignment="1">
      <alignment vertical="center"/>
    </xf>
    <xf numFmtId="9" fontId="6" fillId="0" borderId="3" xfId="132" quotePrefix="1" applyNumberFormat="1" applyFont="1" applyFill="1" applyBorder="1" applyAlignment="1">
      <alignment horizontal="right" vertical="center" wrapText="1"/>
    </xf>
    <xf numFmtId="0" fontId="6" fillId="0" borderId="3" xfId="7" applyFont="1" applyFill="1" applyBorder="1" applyAlignment="1">
      <alignment vertical="center"/>
    </xf>
    <xf numFmtId="0" fontId="6" fillId="0" borderId="0" xfId="7" applyFont="1" applyFill="1" applyBorder="1" applyAlignment="1">
      <alignment vertical="center"/>
    </xf>
    <xf numFmtId="3" fontId="6" fillId="0" borderId="0" xfId="7" applyNumberFormat="1" applyFont="1" applyFill="1" applyBorder="1" applyAlignment="1">
      <alignment vertical="center"/>
    </xf>
    <xf numFmtId="169" fontId="4" fillId="0" borderId="3" xfId="29" applyNumberFormat="1" applyFont="1" applyFill="1" applyBorder="1" applyAlignment="1">
      <alignment vertical="center" wrapText="1"/>
    </xf>
    <xf numFmtId="0" fontId="4" fillId="0" borderId="0" xfId="146" applyFont="1" applyFill="1" applyBorder="1" applyAlignment="1">
      <alignment horizontal="center" vertical="center" wrapText="1"/>
    </xf>
    <xf numFmtId="3" fontId="4" fillId="0" borderId="0" xfId="146" applyNumberFormat="1" applyFont="1" applyFill="1" applyBorder="1" applyAlignment="1">
      <alignment horizontal="center" vertical="center" wrapText="1"/>
    </xf>
    <xf numFmtId="0" fontId="6" fillId="0" borderId="3" xfId="148" applyFont="1" applyFill="1" applyBorder="1" applyAlignment="1">
      <alignment horizontal="center" vertical="center" wrapText="1"/>
    </xf>
    <xf numFmtId="0" fontId="6" fillId="0" borderId="3" xfId="148" applyFont="1" applyFill="1" applyBorder="1" applyAlignment="1">
      <alignment vertical="center" wrapText="1"/>
    </xf>
    <xf numFmtId="3" fontId="6" fillId="0" borderId="3" xfId="148" applyNumberFormat="1" applyFont="1" applyFill="1" applyBorder="1" applyAlignment="1">
      <alignment vertical="center" wrapText="1"/>
    </xf>
    <xf numFmtId="0" fontId="4" fillId="0" borderId="6" xfId="141" applyFont="1" applyFill="1" applyBorder="1" applyAlignment="1">
      <alignment horizontal="center" vertical="center" wrapText="1"/>
    </xf>
    <xf numFmtId="3" fontId="4" fillId="0" borderId="6" xfId="132" quotePrefix="1" applyNumberFormat="1" applyFont="1" applyFill="1" applyBorder="1" applyAlignment="1">
      <alignment vertical="center" wrapText="1"/>
    </xf>
    <xf numFmtId="169" fontId="4" fillId="0" borderId="6" xfId="8" applyNumberFormat="1" applyFont="1" applyFill="1" applyBorder="1" applyAlignment="1">
      <alignment vertical="center" wrapText="1"/>
    </xf>
    <xf numFmtId="9" fontId="4" fillId="0" borderId="6" xfId="132" quotePrefix="1" applyNumberFormat="1" applyFont="1" applyFill="1" applyBorder="1" applyAlignment="1">
      <alignment horizontal="right" vertical="center" wrapText="1"/>
    </xf>
    <xf numFmtId="0" fontId="4" fillId="0" borderId="6" xfId="7" applyFont="1" applyFill="1" applyBorder="1" applyAlignment="1">
      <alignment vertical="center" wrapText="1"/>
    </xf>
    <xf numFmtId="0" fontId="4" fillId="0" borderId="12" xfId="141" applyFont="1" applyFill="1" applyBorder="1" applyAlignment="1">
      <alignment horizontal="center" vertical="center" wrapText="1"/>
    </xf>
    <xf numFmtId="3" fontId="4" fillId="0" borderId="12" xfId="132" quotePrefix="1" applyNumberFormat="1" applyFont="1" applyFill="1" applyBorder="1" applyAlignment="1">
      <alignment vertical="center" wrapText="1"/>
    </xf>
    <xf numFmtId="169" fontId="4" fillId="0" borderId="12" xfId="8" applyNumberFormat="1" applyFont="1" applyFill="1" applyBorder="1" applyAlignment="1">
      <alignment vertical="center" wrapText="1"/>
    </xf>
    <xf numFmtId="9" fontId="4" fillId="0" borderId="12" xfId="132" quotePrefix="1" applyNumberFormat="1" applyFont="1" applyFill="1" applyBorder="1" applyAlignment="1">
      <alignment horizontal="right" vertical="center" wrapText="1"/>
    </xf>
    <xf numFmtId="0" fontId="4" fillId="0" borderId="12" xfId="7" applyFont="1" applyFill="1" applyBorder="1" applyAlignment="1">
      <alignment vertical="center" wrapText="1"/>
    </xf>
    <xf numFmtId="0" fontId="4" fillId="0" borderId="8" xfId="141" applyFont="1" applyFill="1" applyBorder="1" applyAlignment="1">
      <alignment horizontal="center" vertical="center" wrapText="1"/>
    </xf>
    <xf numFmtId="3" fontId="4" fillId="0" borderId="8" xfId="132" quotePrefix="1" applyNumberFormat="1" applyFont="1" applyFill="1" applyBorder="1" applyAlignment="1">
      <alignment vertical="center" wrapText="1"/>
    </xf>
    <xf numFmtId="169" fontId="4" fillId="0" borderId="8" xfId="8" applyNumberFormat="1" applyFont="1" applyFill="1" applyBorder="1" applyAlignment="1">
      <alignment vertical="center" wrapText="1"/>
    </xf>
    <xf numFmtId="9" fontId="4" fillId="0" borderId="8" xfId="132" quotePrefix="1" applyNumberFormat="1" applyFont="1" applyFill="1" applyBorder="1" applyAlignment="1">
      <alignment horizontal="right" vertical="center" wrapText="1"/>
    </xf>
    <xf numFmtId="0" fontId="4" fillId="0" borderId="8" xfId="7" applyFont="1" applyFill="1" applyBorder="1" applyAlignment="1">
      <alignment vertical="center" wrapText="1"/>
    </xf>
    <xf numFmtId="0" fontId="4" fillId="0" borderId="3" xfId="141" applyFont="1" applyFill="1" applyBorder="1" applyAlignment="1">
      <alignment horizontal="center" vertical="center" wrapText="1"/>
    </xf>
    <xf numFmtId="0" fontId="4" fillId="0" borderId="3" xfId="7" applyFont="1" applyFill="1" applyBorder="1" applyAlignment="1">
      <alignment vertical="center" wrapText="1"/>
    </xf>
    <xf numFmtId="0" fontId="6" fillId="0" borderId="3" xfId="141" applyFont="1" applyFill="1" applyBorder="1" applyAlignment="1">
      <alignment horizontal="center" vertical="center" wrapText="1"/>
    </xf>
    <xf numFmtId="3" fontId="6" fillId="0" borderId="3" xfId="132" applyNumberFormat="1" applyFont="1" applyFill="1" applyBorder="1" applyAlignment="1">
      <alignment vertical="center" wrapText="1"/>
    </xf>
    <xf numFmtId="169" fontId="6" fillId="0" borderId="3" xfId="8" applyNumberFormat="1" applyFont="1" applyFill="1" applyBorder="1" applyAlignment="1">
      <alignment vertical="center" wrapText="1"/>
    </xf>
    <xf numFmtId="3" fontId="6" fillId="0" borderId="3" xfId="132" quotePrefix="1" applyNumberFormat="1" applyFont="1" applyFill="1" applyBorder="1" applyAlignment="1">
      <alignment vertical="center" wrapText="1"/>
    </xf>
    <xf numFmtId="3" fontId="6" fillId="0" borderId="3" xfId="8" applyNumberFormat="1" applyFont="1" applyFill="1" applyBorder="1" applyAlignment="1">
      <alignment vertical="center" wrapText="1"/>
    </xf>
    <xf numFmtId="0" fontId="6" fillId="0" borderId="3" xfId="7" applyFont="1" applyFill="1" applyBorder="1" applyAlignment="1">
      <alignment vertical="center" wrapText="1"/>
    </xf>
    <xf numFmtId="0" fontId="6" fillId="0" borderId="3" xfId="148" applyFont="1" applyFill="1" applyBorder="1" applyAlignment="1">
      <alignment horizontal="center" vertical="center"/>
    </xf>
    <xf numFmtId="0" fontId="6" fillId="0" borderId="3" xfId="148" applyFont="1" applyFill="1" applyBorder="1" applyAlignment="1">
      <alignment vertical="center"/>
    </xf>
    <xf numFmtId="0" fontId="4" fillId="0" borderId="3" xfId="68" applyFont="1" applyFill="1" applyBorder="1" applyAlignment="1">
      <alignment horizontal="center" vertical="center" wrapText="1"/>
    </xf>
    <xf numFmtId="0" fontId="4" fillId="0" borderId="3" xfId="75" applyFont="1" applyFill="1" applyBorder="1" applyAlignment="1">
      <alignment vertical="center" wrapText="1"/>
    </xf>
    <xf numFmtId="0" fontId="4" fillId="0" borderId="3" xfId="86" applyNumberFormat="1" applyFont="1" applyFill="1" applyBorder="1" applyAlignment="1">
      <alignment vertical="center" wrapText="1"/>
    </xf>
    <xf numFmtId="3" fontId="4" fillId="0" borderId="3" xfId="86" applyNumberFormat="1" applyFont="1" applyFill="1" applyBorder="1" applyAlignment="1">
      <alignment vertical="center" wrapText="1"/>
    </xf>
    <xf numFmtId="0" fontId="4" fillId="0" borderId="3" xfId="133" applyFont="1" applyFill="1" applyBorder="1" applyAlignment="1">
      <alignment horizontal="justify" vertical="center" wrapText="1"/>
    </xf>
    <xf numFmtId="0" fontId="4" fillId="0" borderId="0" xfId="133" applyFont="1" applyFill="1"/>
    <xf numFmtId="0" fontId="4" fillId="0" borderId="3" xfId="133" applyFont="1" applyFill="1" applyBorder="1" applyAlignment="1">
      <alignment vertical="center"/>
    </xf>
    <xf numFmtId="169" fontId="4" fillId="0" borderId="3" xfId="8" applyNumberFormat="1" applyFont="1" applyFill="1" applyBorder="1" applyAlignment="1">
      <alignment vertical="center" wrapText="1"/>
    </xf>
    <xf numFmtId="169" fontId="4" fillId="0" borderId="3" xfId="142" applyNumberFormat="1" applyFont="1" applyFill="1" applyBorder="1" applyAlignment="1">
      <alignment vertical="center" wrapText="1"/>
    </xf>
    <xf numFmtId="0" fontId="4" fillId="0" borderId="3" xfId="146" quotePrefix="1" applyFont="1" applyFill="1" applyBorder="1" applyAlignment="1">
      <alignment vertical="center" wrapText="1"/>
    </xf>
    <xf numFmtId="3" fontId="4" fillId="0" borderId="3" xfId="146" quotePrefix="1" applyNumberFormat="1" applyFont="1" applyFill="1" applyBorder="1" applyAlignment="1">
      <alignment vertical="center" wrapText="1"/>
    </xf>
    <xf numFmtId="43" fontId="4" fillId="0" borderId="0" xfId="142" applyNumberFormat="1" applyFont="1" applyFill="1" applyBorder="1" applyAlignment="1">
      <alignment vertical="center" wrapText="1"/>
    </xf>
    <xf numFmtId="0" fontId="4" fillId="0" borderId="0" xfId="9" applyFont="1" applyFill="1" applyBorder="1" applyAlignment="1">
      <alignment vertical="center" wrapText="1"/>
    </xf>
    <xf numFmtId="169" fontId="4" fillId="0" borderId="3" xfId="7" applyNumberFormat="1" applyFont="1" applyFill="1" applyBorder="1" applyAlignment="1">
      <alignment vertical="center" wrapText="1"/>
    </xf>
    <xf numFmtId="0" fontId="4" fillId="0" borderId="3" xfId="9" quotePrefix="1" applyFont="1" applyFill="1" applyBorder="1" applyAlignment="1">
      <alignment vertical="center" wrapText="1"/>
    </xf>
    <xf numFmtId="3" fontId="4" fillId="0" borderId="3" xfId="9" quotePrefix="1" applyNumberFormat="1" applyFont="1" applyFill="1" applyBorder="1" applyAlignment="1">
      <alignment vertical="center" wrapText="1"/>
    </xf>
    <xf numFmtId="0" fontId="4" fillId="0" borderId="3" xfId="148" applyFont="1" applyFill="1" applyBorder="1" applyAlignment="1">
      <alignment vertical="center" wrapText="1"/>
    </xf>
    <xf numFmtId="3" fontId="4" fillId="0" borderId="3" xfId="68" applyNumberFormat="1" applyFont="1" applyFill="1" applyBorder="1" applyAlignment="1">
      <alignment vertical="center" wrapText="1"/>
    </xf>
    <xf numFmtId="3" fontId="4" fillId="0" borderId="3" xfId="148" applyNumberFormat="1" applyFont="1" applyFill="1" applyBorder="1" applyAlignment="1">
      <alignment vertical="center" wrapText="1"/>
    </xf>
    <xf numFmtId="0" fontId="4" fillId="0" borderId="3" xfId="148" applyFont="1" applyFill="1" applyBorder="1" applyAlignment="1">
      <alignment horizontal="center" vertical="center"/>
    </xf>
    <xf numFmtId="3" fontId="4" fillId="0" borderId="3" xfId="148" applyNumberFormat="1" applyFont="1" applyFill="1" applyBorder="1" applyAlignment="1">
      <alignment vertical="center"/>
    </xf>
    <xf numFmtId="0" fontId="4" fillId="0" borderId="3" xfId="148" applyFont="1" applyFill="1" applyBorder="1" applyAlignment="1">
      <alignment vertical="center"/>
    </xf>
    <xf numFmtId="0" fontId="4" fillId="0" borderId="3" xfId="148" applyNumberFormat="1" applyFont="1" applyFill="1" applyBorder="1" applyAlignment="1">
      <alignment vertical="center"/>
    </xf>
    <xf numFmtId="3" fontId="6" fillId="0" borderId="3" xfId="68" applyNumberFormat="1" applyFont="1" applyFill="1" applyBorder="1" applyAlignment="1">
      <alignment vertical="center" wrapText="1"/>
    </xf>
    <xf numFmtId="3" fontId="6" fillId="0" borderId="3" xfId="148" applyNumberFormat="1" applyFont="1" applyFill="1" applyBorder="1" applyAlignment="1">
      <alignment vertical="center"/>
    </xf>
    <xf numFmtId="0" fontId="6" fillId="0" borderId="3" xfId="132" applyNumberFormat="1" applyFont="1" applyFill="1" applyBorder="1" applyAlignment="1">
      <alignment vertical="center" wrapText="1"/>
    </xf>
    <xf numFmtId="9" fontId="6" fillId="0" borderId="3" xfId="132" applyNumberFormat="1" applyFont="1" applyFill="1" applyBorder="1" applyAlignment="1">
      <alignment horizontal="right" vertical="center" wrapText="1"/>
    </xf>
    <xf numFmtId="3" fontId="6" fillId="0" borderId="0" xfId="7" applyNumberFormat="1" applyFont="1" applyFill="1" applyAlignment="1">
      <alignment vertical="center"/>
    </xf>
    <xf numFmtId="0" fontId="4" fillId="0" borderId="6" xfId="7" applyFont="1" applyFill="1" applyBorder="1" applyAlignment="1">
      <alignment horizontal="center" vertical="center"/>
    </xf>
    <xf numFmtId="0" fontId="4" fillId="0" borderId="6" xfId="132" applyNumberFormat="1" applyFont="1" applyFill="1" applyBorder="1" applyAlignment="1">
      <alignment vertical="center" wrapText="1"/>
    </xf>
    <xf numFmtId="3" fontId="4" fillId="0" borderId="6" xfId="132" applyNumberFormat="1" applyFont="1" applyFill="1" applyBorder="1" applyAlignment="1">
      <alignment vertical="center" wrapText="1"/>
    </xf>
    <xf numFmtId="9" fontId="4" fillId="0" borderId="6" xfId="132" applyNumberFormat="1" applyFont="1" applyFill="1" applyBorder="1" applyAlignment="1">
      <alignment horizontal="right" vertical="center" wrapText="1"/>
    </xf>
    <xf numFmtId="0" fontId="39" fillId="0" borderId="6" xfId="7" applyFont="1" applyFill="1" applyBorder="1" applyAlignment="1">
      <alignment vertical="center" wrapText="1"/>
    </xf>
    <xf numFmtId="9" fontId="4" fillId="0" borderId="0" xfId="7" applyNumberFormat="1" applyFont="1" applyFill="1" applyAlignment="1">
      <alignment vertical="center"/>
    </xf>
    <xf numFmtId="0" fontId="4" fillId="0" borderId="5" xfId="148" applyFont="1" applyFill="1" applyBorder="1" applyAlignment="1">
      <alignment horizontal="center" vertical="center" wrapText="1"/>
    </xf>
    <xf numFmtId="0" fontId="4" fillId="0" borderId="5" xfId="148" applyFont="1" applyFill="1" applyBorder="1" applyAlignment="1">
      <alignment horizontal="justify" vertical="center" wrapText="1"/>
    </xf>
    <xf numFmtId="0" fontId="4" fillId="0" borderId="5" xfId="148" applyNumberFormat="1" applyFont="1" applyFill="1" applyBorder="1" applyAlignment="1">
      <alignment horizontal="justify" vertical="center"/>
    </xf>
    <xf numFmtId="3" fontId="4" fillId="0" borderId="5" xfId="75" applyNumberFormat="1" applyFont="1" applyFill="1" applyBorder="1" applyAlignment="1">
      <alignment vertical="center" wrapText="1"/>
    </xf>
    <xf numFmtId="3" fontId="4" fillId="0" borderId="5" xfId="148" applyNumberFormat="1" applyFont="1" applyFill="1" applyBorder="1" applyAlignment="1">
      <alignment horizontal="right" vertical="center" wrapText="1"/>
    </xf>
    <xf numFmtId="9" fontId="4" fillId="0" borderId="5" xfId="147" applyNumberFormat="1" applyFont="1" applyFill="1" applyBorder="1" applyAlignment="1">
      <alignment horizontal="right" vertical="center"/>
    </xf>
    <xf numFmtId="0" fontId="4" fillId="0" borderId="5" xfId="148" applyFont="1" applyFill="1" applyBorder="1" applyAlignment="1">
      <alignment wrapText="1"/>
    </xf>
    <xf numFmtId="0" fontId="8" fillId="0" borderId="5" xfId="4" applyFont="1" applyFill="1" applyBorder="1" applyAlignment="1">
      <alignment horizontal="center" vertical="center" wrapText="1"/>
    </xf>
    <xf numFmtId="0" fontId="8" fillId="0" borderId="5" xfId="12" applyFont="1" applyFill="1" applyBorder="1" applyAlignment="1">
      <alignment horizontal="justify" vertical="center" wrapText="1"/>
    </xf>
    <xf numFmtId="0" fontId="8" fillId="0" borderId="5" xfId="148" applyNumberFormat="1" applyFont="1" applyFill="1" applyBorder="1" applyAlignment="1">
      <alignment horizontal="justify" vertical="center"/>
    </xf>
    <xf numFmtId="3" fontId="8" fillId="0" borderId="5" xfId="135" applyNumberFormat="1" applyFont="1" applyFill="1" applyBorder="1" applyAlignment="1">
      <alignment horizontal="right" vertical="center" wrapText="1"/>
    </xf>
    <xf numFmtId="3" fontId="8" fillId="0" borderId="5" xfId="146" applyNumberFormat="1" applyFont="1" applyFill="1" applyBorder="1" applyAlignment="1">
      <alignment horizontal="right" vertical="center"/>
    </xf>
    <xf numFmtId="3" fontId="8" fillId="0" borderId="5" xfId="147" applyNumberFormat="1" applyFont="1" applyFill="1" applyBorder="1" applyAlignment="1">
      <alignment horizontal="right" vertical="center"/>
    </xf>
    <xf numFmtId="9" fontId="8" fillId="0" borderId="5" xfId="147" applyNumberFormat="1" applyFont="1" applyFill="1" applyBorder="1" applyAlignment="1">
      <alignment horizontal="right" vertical="center"/>
    </xf>
    <xf numFmtId="0" fontId="8" fillId="0" borderId="5" xfId="146" applyFont="1" applyFill="1" applyBorder="1" applyAlignment="1">
      <alignment vertical="center" wrapText="1"/>
    </xf>
    <xf numFmtId="3" fontId="15" fillId="0" borderId="0" xfId="7" applyNumberFormat="1" applyFont="1" applyFill="1" applyAlignment="1">
      <alignment horizontal="center" vertical="center"/>
    </xf>
    <xf numFmtId="169" fontId="4" fillId="0" borderId="0" xfId="30" applyNumberFormat="1" applyFont="1" applyFill="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xf>
    <xf numFmtId="43" fontId="4" fillId="0" borderId="0" xfId="30" applyFont="1" applyFill="1" applyAlignment="1">
      <alignment vertical="center"/>
    </xf>
    <xf numFmtId="0" fontId="37" fillId="0" borderId="8" xfId="7" applyFont="1" applyFill="1" applyBorder="1" applyAlignment="1">
      <alignment horizontal="center" vertical="center" wrapText="1"/>
    </xf>
    <xf numFmtId="0" fontId="6" fillId="0" borderId="8" xfId="7" applyFont="1" applyFill="1" applyBorder="1" applyAlignment="1">
      <alignment horizontal="center" vertical="center" wrapText="1"/>
    </xf>
    <xf numFmtId="3" fontId="6" fillId="0" borderId="8" xfId="7" applyNumberFormat="1" applyFont="1" applyFill="1" applyBorder="1" applyAlignment="1">
      <alignment horizontal="right" vertical="center" wrapText="1"/>
    </xf>
    <xf numFmtId="3" fontId="15" fillId="0" borderId="0" xfId="7" applyNumberFormat="1" applyFont="1" applyFill="1" applyBorder="1" applyAlignment="1">
      <alignment horizontal="center" vertical="center" wrapText="1"/>
    </xf>
    <xf numFmtId="9" fontId="4" fillId="0" borderId="0" xfId="119" applyFont="1" applyFill="1" applyAlignment="1">
      <alignment vertical="center"/>
    </xf>
    <xf numFmtId="3" fontId="6" fillId="2" borderId="3" xfId="7" applyNumberFormat="1" applyFont="1" applyFill="1" applyBorder="1" applyAlignment="1">
      <alignment horizontal="right" vertical="center"/>
    </xf>
    <xf numFmtId="9" fontId="6" fillId="2" borderId="3" xfId="7" applyNumberFormat="1" applyFont="1" applyFill="1" applyBorder="1" applyAlignment="1">
      <alignment horizontal="right" vertical="center"/>
    </xf>
    <xf numFmtId="0" fontId="6" fillId="2" borderId="3" xfId="7" applyFont="1" applyFill="1" applyBorder="1" applyAlignment="1">
      <alignment horizontal="center" vertical="center" wrapText="1"/>
    </xf>
    <xf numFmtId="3" fontId="15" fillId="2" borderId="0" xfId="7" applyNumberFormat="1" applyFont="1" applyFill="1" applyBorder="1" applyAlignment="1">
      <alignment horizontal="right" vertical="center" wrapText="1"/>
    </xf>
    <xf numFmtId="9" fontId="4" fillId="2" borderId="0" xfId="119" applyFont="1" applyFill="1" applyAlignment="1">
      <alignment vertical="center"/>
    </xf>
    <xf numFmtId="43" fontId="4" fillId="2" borderId="0" xfId="30" applyFont="1" applyFill="1" applyAlignment="1">
      <alignment vertical="center"/>
    </xf>
    <xf numFmtId="0" fontId="4" fillId="2" borderId="0" xfId="7" applyFont="1" applyFill="1" applyAlignment="1">
      <alignment vertical="center"/>
    </xf>
    <xf numFmtId="0" fontId="6" fillId="0" borderId="3" xfId="7" applyFont="1" applyFill="1" applyBorder="1" applyAlignment="1">
      <alignment horizontal="justify" vertical="center" wrapText="1"/>
    </xf>
    <xf numFmtId="0" fontId="8" fillId="0" borderId="3" xfId="7" applyFont="1" applyFill="1" applyBorder="1" applyAlignment="1">
      <alignment horizontal="center" vertical="center" wrapText="1"/>
    </xf>
    <xf numFmtId="9" fontId="6" fillId="0" borderId="3" xfId="7" applyNumberFormat="1" applyFont="1" applyFill="1" applyBorder="1" applyAlignment="1">
      <alignment horizontal="right" vertical="center"/>
    </xf>
    <xf numFmtId="0" fontId="5" fillId="0" borderId="3" xfId="7" applyFont="1" applyFill="1" applyBorder="1" applyAlignment="1">
      <alignment horizontal="center" vertical="center" wrapText="1"/>
    </xf>
    <xf numFmtId="3" fontId="15" fillId="0" borderId="0" xfId="7" applyNumberFormat="1" applyFont="1" applyFill="1" applyBorder="1" applyAlignment="1">
      <alignment horizontal="right" vertical="center" wrapText="1"/>
    </xf>
    <xf numFmtId="9" fontId="4" fillId="0" borderId="3" xfId="7" applyNumberFormat="1" applyFont="1" applyFill="1" applyBorder="1" applyAlignment="1">
      <alignment horizontal="right" vertical="center"/>
    </xf>
    <xf numFmtId="3" fontId="6" fillId="0" borderId="3" xfId="7" applyNumberFormat="1" applyFont="1" applyFill="1" applyBorder="1" applyAlignment="1">
      <alignment horizontal="center" vertical="center" wrapText="1"/>
    </xf>
    <xf numFmtId="3" fontId="45" fillId="0" borderId="0" xfId="7" applyNumberFormat="1" applyFont="1" applyFill="1" applyBorder="1" applyAlignment="1">
      <alignment horizontal="left" vertical="center"/>
    </xf>
    <xf numFmtId="0" fontId="5" fillId="0" borderId="6" xfId="7" applyFont="1" applyFill="1" applyBorder="1" applyAlignment="1">
      <alignment horizontal="center" vertical="center" wrapText="1"/>
    </xf>
    <xf numFmtId="0" fontId="5" fillId="0" borderId="6" xfId="7" applyFont="1" applyFill="1" applyBorder="1" applyAlignment="1">
      <alignment horizontal="justify" vertical="center" wrapText="1"/>
    </xf>
    <xf numFmtId="0" fontId="8" fillId="0" borderId="6" xfId="7" applyFont="1" applyFill="1" applyBorder="1" applyAlignment="1">
      <alignment horizontal="justify" vertical="center" wrapText="1"/>
    </xf>
    <xf numFmtId="3" fontId="5" fillId="0" borderId="6" xfId="7" applyNumberFormat="1" applyFont="1" applyFill="1" applyBorder="1" applyAlignment="1">
      <alignment horizontal="right" vertical="center" wrapText="1"/>
    </xf>
    <xf numFmtId="9" fontId="6" fillId="0" borderId="6" xfId="7" applyNumberFormat="1" applyFont="1" applyFill="1" applyBorder="1" applyAlignment="1">
      <alignment horizontal="right" vertical="center"/>
    </xf>
    <xf numFmtId="0" fontId="8" fillId="0" borderId="6" xfId="7" applyFont="1" applyFill="1" applyBorder="1" applyAlignment="1">
      <alignment horizontal="center" vertical="center" wrapText="1"/>
    </xf>
    <xf numFmtId="169" fontId="8" fillId="0" borderId="0" xfId="30" applyNumberFormat="1" applyFont="1" applyFill="1" applyAlignment="1">
      <alignment vertical="center"/>
    </xf>
    <xf numFmtId="0" fontId="4" fillId="0" borderId="8" xfId="7" applyFont="1" applyFill="1" applyBorder="1" applyAlignment="1">
      <alignment horizontal="center" vertical="center" wrapText="1"/>
    </xf>
    <xf numFmtId="0" fontId="4" fillId="0" borderId="8" xfId="7" applyFont="1" applyFill="1" applyBorder="1" applyAlignment="1">
      <alignment horizontal="justify" vertical="center" wrapText="1"/>
    </xf>
    <xf numFmtId="3" fontId="4" fillId="0" borderId="8" xfId="7" applyNumberFormat="1" applyFont="1" applyFill="1" applyBorder="1" applyAlignment="1">
      <alignment horizontal="right" vertical="center" wrapText="1"/>
    </xf>
    <xf numFmtId="9" fontId="4" fillId="0" borderId="8" xfId="7" applyNumberFormat="1" applyFont="1" applyFill="1" applyBorder="1" applyAlignment="1">
      <alignment horizontal="right" vertical="center"/>
    </xf>
    <xf numFmtId="169" fontId="6" fillId="0" borderId="0" xfId="30" applyNumberFormat="1" applyFont="1" applyFill="1" applyAlignment="1">
      <alignment vertical="center"/>
    </xf>
    <xf numFmtId="0" fontId="5" fillId="0" borderId="3" xfId="7" applyFont="1" applyFill="1" applyBorder="1" applyAlignment="1">
      <alignment horizontal="justify" vertical="center" wrapText="1"/>
    </xf>
    <xf numFmtId="9" fontId="6" fillId="0" borderId="3" xfId="7" applyNumberFormat="1" applyFont="1" applyFill="1" applyBorder="1" applyAlignment="1">
      <alignment horizontal="right" vertical="center" wrapText="1"/>
    </xf>
    <xf numFmtId="3" fontId="6" fillId="0" borderId="6" xfId="7" applyNumberFormat="1" applyFont="1" applyFill="1" applyBorder="1" applyAlignment="1">
      <alignment horizontal="right" vertical="center" wrapText="1"/>
    </xf>
    <xf numFmtId="0" fontId="4" fillId="0" borderId="6" xfId="7" applyFont="1" applyFill="1" applyBorder="1" applyAlignment="1">
      <alignment horizontal="center" vertical="center" wrapText="1"/>
    </xf>
    <xf numFmtId="3" fontId="4" fillId="0" borderId="3" xfId="7" applyNumberFormat="1" applyFont="1" applyFill="1" applyBorder="1" applyAlignment="1">
      <alignment horizontal="justify" vertical="center" wrapText="1"/>
    </xf>
    <xf numFmtId="9" fontId="4" fillId="0" borderId="0" xfId="119" applyFont="1" applyFill="1" applyAlignment="1">
      <alignment vertical="center" wrapText="1"/>
    </xf>
    <xf numFmtId="0" fontId="4" fillId="0" borderId="3" xfId="7" applyNumberFormat="1" applyFont="1" applyFill="1" applyBorder="1" applyAlignment="1">
      <alignment horizontal="justify" vertical="center" wrapText="1"/>
    </xf>
    <xf numFmtId="0" fontId="6" fillId="0" borderId="6" xfId="7" applyFont="1" applyFill="1" applyBorder="1" applyAlignment="1">
      <alignment horizontal="center" vertical="center" wrapText="1"/>
    </xf>
    <xf numFmtId="0" fontId="6" fillId="0" borderId="6" xfId="7" applyFont="1" applyFill="1" applyBorder="1" applyAlignment="1">
      <alignment horizontal="justify" vertical="center" wrapText="1"/>
    </xf>
    <xf numFmtId="9" fontId="6" fillId="0" borderId="0" xfId="119" applyFont="1" applyFill="1" applyAlignment="1">
      <alignment vertical="center"/>
    </xf>
    <xf numFmtId="0" fontId="6" fillId="0" borderId="8" xfId="7" applyFont="1" applyFill="1" applyBorder="1" applyAlignment="1">
      <alignment horizontal="justify" vertical="center" wrapText="1"/>
    </xf>
    <xf numFmtId="9" fontId="6" fillId="0" borderId="8" xfId="7" applyNumberFormat="1" applyFont="1" applyFill="1" applyBorder="1" applyAlignment="1">
      <alignment horizontal="right" vertical="center"/>
    </xf>
    <xf numFmtId="170" fontId="4" fillId="0" borderId="3" xfId="31" applyNumberFormat="1" applyFont="1" applyFill="1" applyBorder="1" applyAlignment="1">
      <alignment horizontal="right" vertical="center" wrapText="1"/>
    </xf>
    <xf numFmtId="169" fontId="4" fillId="0" borderId="3" xfId="7" applyNumberFormat="1" applyFont="1" applyFill="1" applyBorder="1" applyAlignment="1">
      <alignment horizontal="right" vertical="center" wrapText="1"/>
    </xf>
    <xf numFmtId="3" fontId="4" fillId="0" borderId="3" xfId="31" applyNumberFormat="1" applyFont="1" applyFill="1" applyBorder="1" applyAlignment="1">
      <alignment horizontal="right" vertical="center" wrapText="1"/>
    </xf>
    <xf numFmtId="169" fontId="4" fillId="0" borderId="3" xfId="31" applyNumberFormat="1" applyFont="1" applyFill="1" applyBorder="1" applyAlignment="1">
      <alignment horizontal="right" vertical="center" wrapText="1"/>
    </xf>
    <xf numFmtId="169" fontId="4" fillId="0" borderId="0" xfId="30" applyNumberFormat="1" applyFont="1" applyFill="1" applyAlignment="1">
      <alignment vertical="center" wrapText="1"/>
    </xf>
    <xf numFmtId="0" fontId="6" fillId="0" borderId="3" xfId="7" applyNumberFormat="1" applyFont="1" applyFill="1" applyBorder="1" applyAlignment="1">
      <alignment horizontal="justify" vertical="center" wrapText="1"/>
    </xf>
    <xf numFmtId="170" fontId="6" fillId="0" borderId="3" xfId="31" applyNumberFormat="1" applyFont="1" applyFill="1" applyBorder="1" applyAlignment="1">
      <alignment horizontal="right" vertical="center" wrapText="1"/>
    </xf>
    <xf numFmtId="0" fontId="15" fillId="0" borderId="3" xfId="7" applyFont="1" applyFill="1" applyBorder="1" applyAlignment="1">
      <alignment horizontal="center" vertical="center" wrapText="1"/>
    </xf>
    <xf numFmtId="3" fontId="4" fillId="0" borderId="6" xfId="7" applyNumberFormat="1" applyFont="1" applyFill="1" applyBorder="1" applyAlignment="1">
      <alignment horizontal="right" vertical="center" wrapText="1"/>
    </xf>
    <xf numFmtId="9" fontId="4" fillId="0" borderId="6" xfId="7" applyNumberFormat="1" applyFont="1" applyFill="1" applyBorder="1" applyAlignment="1">
      <alignment horizontal="right" vertical="center"/>
    </xf>
    <xf numFmtId="169" fontId="8" fillId="0" borderId="0" xfId="30" applyNumberFormat="1" applyFont="1" applyFill="1" applyAlignment="1">
      <alignment vertical="center" wrapText="1"/>
    </xf>
    <xf numFmtId="0" fontId="8" fillId="0" borderId="8" xfId="7" applyFont="1" applyFill="1" applyBorder="1" applyAlignment="1">
      <alignment horizontal="center" vertical="center" wrapText="1"/>
    </xf>
    <xf numFmtId="3" fontId="4" fillId="0" borderId="3" xfId="40" applyNumberFormat="1" applyFont="1" applyFill="1" applyBorder="1" applyAlignment="1">
      <alignment horizontal="right" vertical="center" wrapText="1"/>
    </xf>
    <xf numFmtId="169" fontId="4" fillId="0" borderId="3" xfId="40" applyNumberFormat="1" applyFont="1" applyFill="1" applyBorder="1" applyAlignment="1">
      <alignment horizontal="right" vertical="center" wrapText="1"/>
    </xf>
    <xf numFmtId="0" fontId="4" fillId="0" borderId="6" xfId="18" applyFont="1" applyFill="1" applyBorder="1" applyAlignment="1">
      <alignment horizontal="justify" vertical="center" wrapText="1"/>
    </xf>
    <xf numFmtId="169" fontId="4" fillId="0" borderId="6" xfId="7" applyNumberFormat="1" applyFont="1" applyFill="1" applyBorder="1" applyAlignment="1">
      <alignment horizontal="right" vertical="center" wrapText="1"/>
    </xf>
    <xf numFmtId="169" fontId="4" fillId="0" borderId="8" xfId="40" applyNumberFormat="1" applyFont="1" applyFill="1" applyBorder="1" applyAlignment="1">
      <alignment horizontal="justify" vertical="center" wrapText="1"/>
    </xf>
    <xf numFmtId="41" fontId="4" fillId="0" borderId="8" xfId="40" applyNumberFormat="1" applyFont="1" applyFill="1" applyBorder="1" applyAlignment="1">
      <alignment horizontal="right" vertical="center" wrapText="1"/>
    </xf>
    <xf numFmtId="3" fontId="4" fillId="0" borderId="6" xfId="40" applyNumberFormat="1" applyFont="1" applyFill="1" applyBorder="1" applyAlignment="1">
      <alignment horizontal="right" vertical="center" wrapText="1"/>
    </xf>
    <xf numFmtId="169" fontId="4" fillId="0" borderId="8" xfId="40" applyNumberFormat="1" applyFont="1" applyFill="1" applyBorder="1" applyAlignment="1">
      <alignment horizontal="right" vertical="center" wrapText="1"/>
    </xf>
    <xf numFmtId="0" fontId="4" fillId="0" borderId="3" xfId="40" applyNumberFormat="1" applyFont="1" applyFill="1" applyBorder="1" applyAlignment="1">
      <alignment horizontal="justify" vertical="center" wrapText="1"/>
    </xf>
    <xf numFmtId="3" fontId="4" fillId="0" borderId="6" xfId="7" applyNumberFormat="1" applyFont="1" applyFill="1" applyBorder="1" applyAlignment="1">
      <alignment horizontal="center" vertical="center" wrapText="1"/>
    </xf>
    <xf numFmtId="0" fontId="5" fillId="0" borderId="8" xfId="7" applyFont="1" applyFill="1" applyBorder="1" applyAlignment="1">
      <alignment horizontal="center" vertical="center" wrapText="1"/>
    </xf>
    <xf numFmtId="0" fontId="5" fillId="0" borderId="8" xfId="7" applyFont="1" applyFill="1" applyBorder="1" applyAlignment="1">
      <alignment vertical="center" wrapText="1"/>
    </xf>
    <xf numFmtId="0" fontId="5" fillId="0" borderId="8" xfId="7" applyFont="1" applyFill="1" applyBorder="1" applyAlignment="1">
      <alignment vertical="center"/>
    </xf>
    <xf numFmtId="3" fontId="5" fillId="0" borderId="8" xfId="7" applyNumberFormat="1" applyFont="1" applyFill="1" applyBorder="1" applyAlignment="1">
      <alignment horizontal="right" vertical="center" wrapText="1"/>
    </xf>
    <xf numFmtId="3" fontId="5" fillId="0" borderId="8" xfId="7" applyNumberFormat="1" applyFont="1" applyFill="1" applyBorder="1" applyAlignment="1">
      <alignment horizontal="center" vertical="center" wrapText="1"/>
    </xf>
    <xf numFmtId="9" fontId="5" fillId="0" borderId="0" xfId="119" applyFont="1" applyFill="1" applyAlignment="1">
      <alignment vertical="center"/>
    </xf>
    <xf numFmtId="169" fontId="5" fillId="0" borderId="0" xfId="30" applyNumberFormat="1" applyFont="1" applyFill="1" applyAlignment="1">
      <alignment vertical="center"/>
    </xf>
    <xf numFmtId="0" fontId="5" fillId="0" borderId="0" xfId="7" applyFont="1" applyFill="1" applyAlignment="1">
      <alignment vertical="center"/>
    </xf>
    <xf numFmtId="0" fontId="8" fillId="0" borderId="3" xfId="7" quotePrefix="1"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9" fontId="8" fillId="0" borderId="0" xfId="119" applyFont="1" applyFill="1" applyAlignment="1">
      <alignment vertical="center"/>
    </xf>
    <xf numFmtId="0" fontId="5" fillId="0" borderId="3" xfId="7" quotePrefix="1" applyFont="1" applyFill="1" applyBorder="1" applyAlignment="1">
      <alignment horizontal="justify" vertical="center" wrapText="1"/>
    </xf>
    <xf numFmtId="0" fontId="5" fillId="0" borderId="3" xfId="7" applyFont="1" applyFill="1" applyBorder="1" applyAlignment="1">
      <alignment vertical="center"/>
    </xf>
    <xf numFmtId="3" fontId="5" fillId="0" borderId="3" xfId="7" applyNumberFormat="1" applyFont="1" applyFill="1" applyBorder="1" applyAlignment="1">
      <alignment horizontal="right" vertical="center" wrapText="1"/>
    </xf>
    <xf numFmtId="3" fontId="5" fillId="0" borderId="3" xfId="7" applyNumberFormat="1" applyFont="1" applyFill="1" applyBorder="1" applyAlignment="1">
      <alignment horizontal="center" vertical="center" wrapText="1"/>
    </xf>
    <xf numFmtId="3" fontId="4" fillId="0" borderId="3" xfId="7" applyNumberFormat="1" applyFont="1" applyFill="1" applyBorder="1" applyAlignment="1">
      <alignment horizontal="center" vertical="center" wrapText="1"/>
    </xf>
    <xf numFmtId="0" fontId="4" fillId="0" borderId="3" xfId="7" applyFont="1" applyFill="1" applyBorder="1" applyAlignment="1">
      <alignment horizontal="justify" vertical="center"/>
    </xf>
    <xf numFmtId="3" fontId="6" fillId="0" borderId="3" xfId="7" applyNumberFormat="1" applyFont="1" applyFill="1" applyBorder="1" applyAlignment="1">
      <alignment horizontal="right" vertical="center"/>
    </xf>
    <xf numFmtId="0" fontId="8" fillId="0" borderId="3" xfId="7" applyFont="1" applyFill="1" applyBorder="1" applyAlignment="1">
      <alignment horizontal="justify" vertical="center"/>
    </xf>
    <xf numFmtId="3" fontId="8" fillId="0" borderId="3" xfId="7" applyNumberFormat="1" applyFont="1" applyFill="1" applyBorder="1" applyAlignment="1">
      <alignment horizontal="right" vertical="center"/>
    </xf>
    <xf numFmtId="0" fontId="8" fillId="0" borderId="6" xfId="7" applyFont="1" applyFill="1" applyBorder="1" applyAlignment="1">
      <alignment horizontal="justify" vertical="center"/>
    </xf>
    <xf numFmtId="3" fontId="8" fillId="0" borderId="6" xfId="7" applyNumberFormat="1" applyFont="1" applyFill="1" applyBorder="1" applyAlignment="1">
      <alignment horizontal="right" vertical="center"/>
    </xf>
    <xf numFmtId="3" fontId="8" fillId="0" borderId="6" xfId="7" applyNumberFormat="1" applyFont="1" applyFill="1" applyBorder="1" applyAlignment="1">
      <alignment horizontal="right" vertical="center" wrapText="1"/>
    </xf>
    <xf numFmtId="3" fontId="8" fillId="0" borderId="6" xfId="7" applyNumberFormat="1" applyFont="1" applyFill="1" applyBorder="1" applyAlignment="1">
      <alignment horizontal="center" vertical="center" wrapText="1"/>
    </xf>
    <xf numFmtId="0" fontId="4" fillId="0" borderId="8" xfId="7" applyFont="1" applyFill="1" applyBorder="1" applyAlignment="1">
      <alignment horizontal="justify" vertical="center"/>
    </xf>
    <xf numFmtId="3" fontId="6" fillId="0" borderId="8" xfId="7" applyNumberFormat="1" applyFont="1" applyFill="1" applyBorder="1" applyAlignment="1">
      <alignment horizontal="right" vertical="center"/>
    </xf>
    <xf numFmtId="3" fontId="6" fillId="0" borderId="8" xfId="7" applyNumberFormat="1" applyFont="1" applyFill="1" applyBorder="1" applyAlignment="1">
      <alignment horizontal="center" vertical="center" wrapText="1"/>
    </xf>
    <xf numFmtId="0" fontId="8" fillId="0" borderId="3" xfId="7" quotePrefix="1" applyFont="1" applyFill="1" applyBorder="1" applyAlignment="1">
      <alignment horizontal="justify" vertical="center"/>
    </xf>
    <xf numFmtId="3" fontId="8" fillId="0" borderId="3" xfId="7" applyNumberFormat="1" applyFont="1" applyFill="1" applyBorder="1" applyAlignment="1">
      <alignment vertical="center"/>
    </xf>
    <xf numFmtId="3" fontId="4" fillId="0" borderId="3" xfId="17" applyNumberFormat="1" applyFont="1" applyFill="1" applyBorder="1" applyAlignment="1">
      <alignment vertical="center" wrapText="1"/>
    </xf>
    <xf numFmtId="3" fontId="6" fillId="0" borderId="3" xfId="17" applyNumberFormat="1" applyFont="1" applyFill="1" applyBorder="1" applyAlignment="1">
      <alignment vertical="center"/>
    </xf>
    <xf numFmtId="0" fontId="8" fillId="0" borderId="6" xfId="7" quotePrefix="1" applyFont="1" applyFill="1" applyBorder="1" applyAlignment="1">
      <alignment horizontal="justify" vertical="center"/>
    </xf>
    <xf numFmtId="3" fontId="8" fillId="0" borderId="6" xfId="17" applyNumberFormat="1" applyFont="1" applyFill="1" applyBorder="1" applyAlignment="1">
      <alignment vertical="center"/>
    </xf>
    <xf numFmtId="0" fontId="8" fillId="0" borderId="8" xfId="7" applyFont="1" applyFill="1" applyBorder="1" applyAlignment="1">
      <alignment horizontal="justify" vertical="center" wrapText="1"/>
    </xf>
    <xf numFmtId="0" fontId="8" fillId="0" borderId="8" xfId="17" applyFont="1" applyFill="1" applyBorder="1" applyAlignment="1">
      <alignment vertical="center"/>
    </xf>
    <xf numFmtId="3" fontId="8" fillId="0" borderId="8" xfId="17" applyNumberFormat="1" applyFont="1" applyFill="1" applyBorder="1" applyAlignment="1">
      <alignment vertical="center"/>
    </xf>
    <xf numFmtId="3" fontId="8" fillId="0" borderId="8" xfId="7" applyNumberFormat="1" applyFont="1" applyFill="1" applyBorder="1" applyAlignment="1">
      <alignment horizontal="right" vertical="center"/>
    </xf>
    <xf numFmtId="3" fontId="8" fillId="0" borderId="8" xfId="7" applyNumberFormat="1" applyFont="1" applyFill="1" applyBorder="1" applyAlignment="1">
      <alignment horizontal="right" vertical="center" wrapText="1"/>
    </xf>
    <xf numFmtId="3" fontId="8" fillId="0" borderId="8" xfId="7" applyNumberFormat="1" applyFont="1" applyFill="1" applyBorder="1" applyAlignment="1">
      <alignment horizontal="center" vertical="center" wrapText="1"/>
    </xf>
    <xf numFmtId="3" fontId="8" fillId="0" borderId="3" xfId="17" applyNumberFormat="1" applyFont="1" applyFill="1" applyBorder="1" applyAlignment="1">
      <alignment vertical="center"/>
    </xf>
    <xf numFmtId="0" fontId="8" fillId="0" borderId="3" xfId="17" applyFont="1" applyFill="1" applyBorder="1" applyAlignment="1">
      <alignment vertical="center" wrapText="1"/>
    </xf>
    <xf numFmtId="0" fontId="4" fillId="0" borderId="3" xfId="17" applyFont="1" applyFill="1" applyBorder="1" applyAlignment="1">
      <alignment vertical="center" wrapText="1"/>
    </xf>
    <xf numFmtId="0" fontId="4" fillId="0" borderId="3" xfId="7" quotePrefix="1" applyFont="1" applyFill="1" applyBorder="1" applyAlignment="1">
      <alignment horizontal="justify" vertical="center"/>
    </xf>
    <xf numFmtId="3" fontId="4" fillId="0" borderId="3" xfId="7" applyNumberFormat="1" applyFont="1" applyFill="1" applyBorder="1" applyAlignment="1">
      <alignment horizontal="right" vertical="center"/>
    </xf>
    <xf numFmtId="3" fontId="4" fillId="0" borderId="3" xfId="7" applyNumberFormat="1" applyFont="1" applyFill="1" applyBorder="1" applyAlignment="1">
      <alignment vertical="center" wrapText="1"/>
    </xf>
    <xf numFmtId="0" fontId="6" fillId="0" borderId="6" xfId="7" applyFont="1" applyFill="1" applyBorder="1" applyAlignment="1">
      <alignment horizontal="justify" vertical="center"/>
    </xf>
    <xf numFmtId="3" fontId="6" fillId="0" borderId="6" xfId="7" applyNumberFormat="1" applyFont="1" applyFill="1" applyBorder="1" applyAlignment="1">
      <alignment horizontal="right" vertical="center"/>
    </xf>
    <xf numFmtId="3" fontId="6" fillId="0" borderId="6" xfId="7" applyNumberFormat="1" applyFont="1" applyFill="1" applyBorder="1" applyAlignment="1">
      <alignment horizontal="center" vertical="center" wrapText="1"/>
    </xf>
    <xf numFmtId="3" fontId="4" fillId="0" borderId="8" xfId="7" applyNumberFormat="1" applyFont="1" applyFill="1" applyBorder="1" applyAlignment="1">
      <alignment horizontal="justify" vertical="center" wrapText="1"/>
    </xf>
    <xf numFmtId="3" fontId="6" fillId="0" borderId="3" xfId="7" applyNumberFormat="1" applyFont="1" applyFill="1" applyBorder="1" applyAlignment="1">
      <alignment vertical="center"/>
    </xf>
    <xf numFmtId="0" fontId="37" fillId="0" borderId="3" xfId="7" applyFont="1" applyFill="1" applyBorder="1" applyAlignment="1">
      <alignment horizontal="justify" vertical="center" wrapText="1"/>
    </xf>
    <xf numFmtId="49" fontId="6" fillId="0" borderId="3" xfId="7" applyNumberFormat="1" applyFont="1" applyFill="1" applyBorder="1" applyAlignment="1">
      <alignment horizontal="center" vertical="center" wrapText="1"/>
    </xf>
    <xf numFmtId="49" fontId="6" fillId="0" borderId="3" xfId="7" applyNumberFormat="1" applyFont="1" applyFill="1" applyBorder="1" applyAlignment="1">
      <alignment horizontal="justify" vertical="center" wrapText="1"/>
    </xf>
    <xf numFmtId="0" fontId="6" fillId="0" borderId="3" xfId="4" applyFont="1" applyFill="1" applyBorder="1" applyAlignment="1">
      <alignment vertical="center" wrapText="1"/>
    </xf>
    <xf numFmtId="0" fontId="15" fillId="0" borderId="3" xfId="7" applyFont="1" applyFill="1" applyBorder="1" applyAlignment="1">
      <alignment horizontal="center" vertical="center"/>
    </xf>
    <xf numFmtId="0" fontId="4" fillId="0" borderId="8" xfId="7" applyFont="1" applyFill="1" applyBorder="1" applyAlignment="1">
      <alignment horizontal="left" vertical="center" wrapText="1"/>
    </xf>
    <xf numFmtId="3" fontId="4" fillId="0" borderId="8" xfId="7" applyNumberFormat="1" applyFont="1" applyFill="1" applyBorder="1" applyAlignment="1">
      <alignment horizontal="right" vertical="center"/>
    </xf>
    <xf numFmtId="0" fontId="4" fillId="0" borderId="3" xfId="18" applyFont="1" applyFill="1" applyBorder="1" applyAlignment="1">
      <alignment horizontal="justify" vertical="center" wrapText="1"/>
    </xf>
    <xf numFmtId="169" fontId="4" fillId="0" borderId="3" xfId="40" applyNumberFormat="1" applyFont="1" applyFill="1" applyBorder="1" applyAlignment="1">
      <alignment horizontal="justify" vertical="center" wrapText="1"/>
    </xf>
    <xf numFmtId="0" fontId="4" fillId="0" borderId="3" xfId="4" quotePrefix="1" applyFont="1" applyFill="1" applyBorder="1" applyAlignment="1">
      <alignment vertical="center" wrapText="1"/>
    </xf>
    <xf numFmtId="0" fontId="4" fillId="0" borderId="6" xfId="7" applyFont="1" applyFill="1" applyBorder="1" applyAlignment="1">
      <alignment horizontal="left" vertical="center" wrapText="1"/>
    </xf>
    <xf numFmtId="3" fontId="4" fillId="0" borderId="6" xfId="4" applyNumberFormat="1" applyFont="1" applyFill="1" applyBorder="1" applyAlignment="1">
      <alignment vertical="center" wrapText="1"/>
    </xf>
    <xf numFmtId="3" fontId="4" fillId="0" borderId="6" xfId="7" applyNumberFormat="1" applyFont="1" applyFill="1" applyBorder="1" applyAlignment="1">
      <alignment horizontal="right" vertical="center"/>
    </xf>
    <xf numFmtId="0" fontId="4" fillId="0" borderId="8" xfId="9" applyFont="1" applyFill="1" applyBorder="1" applyAlignment="1">
      <alignment vertical="center" wrapText="1"/>
    </xf>
    <xf numFmtId="0" fontId="4" fillId="0" borderId="8" xfId="4" quotePrefix="1" applyFont="1" applyFill="1" applyBorder="1" applyAlignment="1">
      <alignment vertical="center" wrapText="1"/>
    </xf>
    <xf numFmtId="0" fontId="6" fillId="0" borderId="3" xfId="9" applyFont="1" applyFill="1" applyBorder="1" applyAlignment="1">
      <alignment vertical="center" wrapText="1"/>
    </xf>
    <xf numFmtId="49" fontId="4" fillId="0" borderId="3" xfId="7" applyNumberFormat="1" applyFont="1" applyFill="1" applyBorder="1" applyAlignment="1">
      <alignment horizontal="left" vertical="center" wrapText="1"/>
    </xf>
    <xf numFmtId="2" fontId="4" fillId="0" borderId="3" xfId="7" applyNumberFormat="1" applyFont="1" applyFill="1" applyBorder="1" applyAlignment="1">
      <alignment horizontal="center" vertical="center" wrapText="1"/>
    </xf>
    <xf numFmtId="0" fontId="4" fillId="0" borderId="3" xfId="17" applyFont="1" applyFill="1" applyBorder="1" applyAlignment="1">
      <alignment horizontal="left" vertical="center" wrapText="1"/>
    </xf>
    <xf numFmtId="169" fontId="4" fillId="0" borderId="3" xfId="4" applyNumberFormat="1" applyFont="1" applyFill="1" applyBorder="1" applyAlignment="1">
      <alignment horizontal="right" vertical="center" wrapText="1"/>
    </xf>
    <xf numFmtId="49" fontId="4" fillId="0" borderId="3" xfId="7" applyNumberFormat="1" applyFont="1" applyFill="1" applyBorder="1" applyAlignment="1">
      <alignment horizontal="center" vertical="center" wrapText="1"/>
    </xf>
    <xf numFmtId="0" fontId="4" fillId="0" borderId="3" xfId="9" applyFont="1" applyFill="1" applyBorder="1" applyAlignment="1">
      <alignment horizontal="justify" vertical="center" wrapText="1"/>
    </xf>
    <xf numFmtId="0" fontId="4" fillId="0" borderId="6" xfId="9" applyFont="1" applyFill="1" applyBorder="1" applyAlignment="1">
      <alignment horizontal="center" vertical="center" wrapText="1"/>
    </xf>
    <xf numFmtId="3" fontId="4" fillId="0" borderId="6" xfId="7" applyNumberFormat="1" applyFont="1" applyFill="1" applyBorder="1" applyAlignment="1">
      <alignment horizontal="justify" vertical="center" wrapText="1"/>
    </xf>
    <xf numFmtId="0" fontId="6" fillId="0" borderId="8" xfId="9" applyFont="1" applyFill="1" applyBorder="1" applyAlignment="1">
      <alignment horizontal="center" vertical="center" wrapText="1"/>
    </xf>
    <xf numFmtId="0" fontId="6" fillId="0" borderId="8" xfId="7" applyFont="1" applyFill="1" applyBorder="1" applyAlignment="1">
      <alignment horizontal="left" vertical="center" wrapText="1"/>
    </xf>
    <xf numFmtId="3" fontId="6" fillId="0" borderId="3" xfId="7" applyNumberFormat="1" applyFont="1" applyFill="1" applyBorder="1" applyAlignment="1">
      <alignment horizontal="justify" vertical="center" wrapText="1"/>
    </xf>
    <xf numFmtId="0" fontId="4" fillId="0" borderId="3" xfId="17" applyFont="1" applyFill="1" applyBorder="1" applyAlignment="1">
      <alignment horizontal="justify" vertical="center" wrapText="1"/>
    </xf>
    <xf numFmtId="169" fontId="4" fillId="0" borderId="3" xfId="29" applyNumberFormat="1" applyFont="1" applyFill="1" applyBorder="1" applyAlignment="1">
      <alignment horizontal="left" vertical="center" wrapText="1"/>
    </xf>
    <xf numFmtId="0" fontId="4" fillId="0" borderId="6" xfId="17" applyFont="1" applyFill="1" applyBorder="1" applyAlignment="1">
      <alignment horizontal="justify" vertical="center" wrapText="1"/>
    </xf>
    <xf numFmtId="0" fontId="4" fillId="0" borderId="8" xfId="17" applyFont="1" applyFill="1" applyBorder="1" applyAlignment="1">
      <alignment horizontal="justify" vertical="center" wrapText="1"/>
    </xf>
    <xf numFmtId="49" fontId="4" fillId="0" borderId="8" xfId="7" applyNumberFormat="1" applyFont="1" applyFill="1" applyBorder="1" applyAlignment="1">
      <alignment horizontal="left" vertical="center" wrapText="1"/>
    </xf>
    <xf numFmtId="0" fontId="4" fillId="0" borderId="3" xfId="66" applyFont="1" applyFill="1" applyBorder="1" applyAlignment="1">
      <alignment horizontal="left" vertical="center" wrapText="1"/>
    </xf>
    <xf numFmtId="0" fontId="37" fillId="0" borderId="3" xfId="7" applyFont="1" applyFill="1" applyBorder="1" applyAlignment="1">
      <alignment vertical="center"/>
    </xf>
    <xf numFmtId="0" fontId="6" fillId="0" borderId="3" xfId="7" applyFont="1" applyFill="1" applyBorder="1" applyAlignment="1">
      <alignment horizontal="center" vertical="center"/>
    </xf>
    <xf numFmtId="0" fontId="8" fillId="0" borderId="3" xfId="7" applyFont="1" applyFill="1" applyBorder="1" applyAlignment="1">
      <alignment horizontal="center" vertical="center"/>
    </xf>
    <xf numFmtId="0" fontId="8" fillId="0" borderId="3" xfId="7" applyFont="1" applyFill="1" applyBorder="1" applyAlignment="1">
      <alignment vertical="center" wrapText="1"/>
    </xf>
    <xf numFmtId="0" fontId="6" fillId="0" borderId="6" xfId="7" applyFont="1" applyFill="1" applyBorder="1" applyAlignment="1">
      <alignment horizontal="center" vertical="center"/>
    </xf>
    <xf numFmtId="0" fontId="6" fillId="0" borderId="6" xfId="7" applyFont="1" applyFill="1" applyBorder="1" applyAlignment="1">
      <alignment vertical="center" wrapText="1"/>
    </xf>
    <xf numFmtId="0" fontId="6" fillId="0" borderId="8" xfId="7" applyFont="1" applyFill="1" applyBorder="1" applyAlignment="1">
      <alignment horizontal="center" vertical="center"/>
    </xf>
    <xf numFmtId="0" fontId="6" fillId="0" borderId="8" xfId="7" applyFont="1" applyFill="1" applyBorder="1" applyAlignment="1">
      <alignment vertical="center" wrapText="1"/>
    </xf>
    <xf numFmtId="0" fontId="8" fillId="0" borderId="6" xfId="7" quotePrefix="1" applyFont="1" applyFill="1" applyBorder="1" applyAlignment="1">
      <alignment horizontal="justify" vertical="center" wrapText="1"/>
    </xf>
    <xf numFmtId="0" fontId="4" fillId="0" borderId="2" xfId="7" applyFont="1" applyFill="1" applyBorder="1" applyAlignment="1">
      <alignment horizontal="center" vertical="center" wrapText="1"/>
    </xf>
    <xf numFmtId="0" fontId="37" fillId="0" borderId="8" xfId="7" applyFont="1" applyFill="1" applyBorder="1" applyAlignment="1">
      <alignment vertical="center"/>
    </xf>
    <xf numFmtId="0" fontId="6" fillId="0" borderId="5" xfId="7" applyFont="1" applyFill="1" applyBorder="1" applyAlignment="1">
      <alignment horizontal="center" vertical="center"/>
    </xf>
    <xf numFmtId="0" fontId="6" fillId="0" borderId="5" xfId="7" applyFont="1" applyFill="1" applyBorder="1" applyAlignment="1">
      <alignment vertical="center" wrapText="1"/>
    </xf>
    <xf numFmtId="0" fontId="6" fillId="0" borderId="5" xfId="7" applyFont="1" applyFill="1" applyBorder="1" applyAlignment="1">
      <alignment vertical="center"/>
    </xf>
    <xf numFmtId="3" fontId="6" fillId="0" borderId="5" xfId="7" applyNumberFormat="1" applyFont="1" applyFill="1" applyBorder="1" applyAlignment="1">
      <alignment horizontal="right" vertical="center"/>
    </xf>
    <xf numFmtId="9" fontId="6" fillId="0" borderId="5" xfId="7" applyNumberFormat="1" applyFont="1" applyFill="1" applyBorder="1" applyAlignment="1">
      <alignment horizontal="right" vertical="center"/>
    </xf>
    <xf numFmtId="0" fontId="4" fillId="0" borderId="5" xfId="7" applyFont="1" applyFill="1" applyBorder="1" applyAlignment="1">
      <alignment horizontal="center" vertical="center"/>
    </xf>
    <xf numFmtId="0" fontId="4" fillId="0" borderId="5" xfId="7" applyFont="1" applyFill="1" applyBorder="1" applyAlignment="1">
      <alignment vertical="center" wrapText="1"/>
    </xf>
    <xf numFmtId="3" fontId="4" fillId="0" borderId="5" xfId="7" applyNumberFormat="1" applyFont="1" applyFill="1" applyBorder="1" applyAlignment="1">
      <alignment horizontal="right" vertical="center"/>
    </xf>
    <xf numFmtId="9" fontId="4" fillId="0" borderId="5" xfId="7" applyNumberFormat="1" applyFont="1" applyFill="1" applyBorder="1" applyAlignment="1">
      <alignment horizontal="right" vertical="center"/>
    </xf>
    <xf numFmtId="0" fontId="4" fillId="0" borderId="5" xfId="7" applyFont="1" applyFill="1" applyBorder="1" applyAlignment="1">
      <alignment vertical="center"/>
    </xf>
    <xf numFmtId="0" fontId="4" fillId="0" borderId="8" xfId="7" applyFont="1" applyFill="1" applyBorder="1" applyAlignment="1">
      <alignment horizontal="center" vertical="center"/>
    </xf>
    <xf numFmtId="3" fontId="6" fillId="0" borderId="2" xfId="7" applyNumberFormat="1" applyFont="1" applyFill="1" applyBorder="1" applyAlignment="1">
      <alignment horizontal="right" vertical="center"/>
    </xf>
    <xf numFmtId="9" fontId="6" fillId="0" borderId="2" xfId="7" applyNumberFormat="1" applyFont="1" applyFill="1" applyBorder="1" applyAlignment="1">
      <alignment horizontal="right" vertical="center"/>
    </xf>
    <xf numFmtId="3" fontId="4" fillId="0" borderId="0" xfId="7" applyNumberFormat="1" applyFont="1" applyFill="1" applyAlignment="1">
      <alignment horizontal="right" vertical="center"/>
    </xf>
    <xf numFmtId="9" fontId="4" fillId="0" borderId="0" xfId="7" applyNumberFormat="1" applyFont="1" applyFill="1" applyAlignment="1">
      <alignment horizontal="right" vertical="center"/>
    </xf>
    <xf numFmtId="0" fontId="4" fillId="0" borderId="0" xfId="7" applyFont="1" applyFill="1" applyAlignment="1">
      <alignment horizontal="center" vertical="center" wrapText="1"/>
    </xf>
    <xf numFmtId="0" fontId="18" fillId="0" borderId="0" xfId="7" applyFont="1" applyFill="1" applyAlignment="1">
      <alignment horizontal="center" vertical="center" wrapText="1"/>
    </xf>
    <xf numFmtId="3" fontId="4" fillId="0" borderId="0" xfId="7" applyNumberFormat="1" applyFont="1" applyFill="1" applyAlignment="1">
      <alignment horizontal="right" vertical="center" wrapText="1"/>
    </xf>
    <xf numFmtId="3" fontId="4" fillId="0" borderId="0" xfId="7" applyNumberFormat="1" applyFont="1" applyFill="1" applyAlignment="1">
      <alignment horizontal="center" vertical="center" wrapText="1"/>
    </xf>
    <xf numFmtId="3" fontId="5" fillId="0" borderId="0" xfId="7" applyNumberFormat="1" applyFont="1" applyFill="1" applyAlignment="1">
      <alignment horizontal="center" vertical="center" wrapText="1"/>
    </xf>
    <xf numFmtId="3" fontId="4" fillId="0" borderId="0" xfId="7" applyNumberFormat="1" applyFont="1" applyFill="1" applyAlignment="1">
      <alignment vertical="center" wrapText="1"/>
    </xf>
    <xf numFmtId="3" fontId="6"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6" fillId="0" borderId="0" xfId="7" applyFont="1" applyFill="1" applyBorder="1" applyAlignment="1">
      <alignment horizontal="center" vertical="center" wrapText="1"/>
    </xf>
    <xf numFmtId="0" fontId="35"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wrapText="1"/>
    </xf>
    <xf numFmtId="0" fontId="31" fillId="0" borderId="2" xfId="7" applyFont="1" applyFill="1" applyBorder="1" applyAlignment="1">
      <alignment horizontal="center" vertical="center" wrapText="1"/>
    </xf>
    <xf numFmtId="169" fontId="6" fillId="0" borderId="8" xfId="30" applyNumberFormat="1" applyFont="1" applyFill="1" applyBorder="1" applyAlignment="1">
      <alignment horizontal="right" vertical="center" wrapText="1"/>
    </xf>
    <xf numFmtId="9" fontId="6" fillId="0" borderId="8" xfId="30" applyNumberFormat="1" applyFont="1" applyFill="1" applyBorder="1" applyAlignment="1">
      <alignment horizontal="right" vertical="center" wrapText="1"/>
    </xf>
    <xf numFmtId="0" fontId="45" fillId="0" borderId="8" xfId="7" applyFont="1" applyFill="1" applyBorder="1" applyAlignment="1">
      <alignment horizontal="center" vertical="center" wrapText="1"/>
    </xf>
    <xf numFmtId="43" fontId="45" fillId="0" borderId="0" xfId="7" applyNumberFormat="1" applyFont="1" applyFill="1" applyBorder="1" applyAlignment="1">
      <alignment horizontal="center" vertical="center" wrapText="1"/>
    </xf>
    <xf numFmtId="43" fontId="6" fillId="0" borderId="0" xfId="7" applyNumberFormat="1" applyFont="1" applyFill="1" applyBorder="1" applyAlignment="1">
      <alignment horizontal="center" vertical="center" wrapText="1"/>
    </xf>
    <xf numFmtId="174" fontId="6" fillId="0" borderId="0" xfId="30" applyNumberFormat="1" applyFont="1" applyFill="1" applyBorder="1" applyAlignment="1">
      <alignment vertical="center" wrapText="1"/>
    </xf>
    <xf numFmtId="174" fontId="6" fillId="0" borderId="0" xfId="30" applyNumberFormat="1" applyFont="1" applyFill="1" applyBorder="1" applyAlignment="1">
      <alignment horizontal="center" vertical="center" wrapText="1"/>
    </xf>
    <xf numFmtId="0" fontId="31" fillId="0" borderId="3" xfId="7" applyFont="1" applyFill="1" applyBorder="1" applyAlignment="1">
      <alignment horizontal="left" vertical="center" wrapText="1"/>
    </xf>
    <xf numFmtId="169" fontId="6" fillId="0" borderId="3" xfId="30" applyNumberFormat="1" applyFont="1" applyFill="1" applyBorder="1" applyAlignment="1">
      <alignment horizontal="right" vertical="center" wrapText="1"/>
    </xf>
    <xf numFmtId="9" fontId="6" fillId="0" borderId="3" xfId="30" applyNumberFormat="1" applyFont="1" applyFill="1" applyBorder="1" applyAlignment="1">
      <alignment horizontal="right" vertical="center" wrapText="1"/>
    </xf>
    <xf numFmtId="0" fontId="4" fillId="0" borderId="0" xfId="7" applyFont="1" applyFill="1" applyBorder="1" applyAlignment="1">
      <alignment vertical="center" wrapText="1"/>
    </xf>
    <xf numFmtId="174" fontId="4" fillId="0" borderId="0" xfId="30" applyNumberFormat="1" applyFont="1" applyFill="1" applyBorder="1" applyAlignment="1">
      <alignment vertical="center" wrapText="1"/>
    </xf>
    <xf numFmtId="9" fontId="4" fillId="0" borderId="0" xfId="7" applyNumberFormat="1" applyFont="1" applyFill="1" applyAlignment="1">
      <alignment vertical="center" wrapText="1"/>
    </xf>
    <xf numFmtId="0" fontId="47" fillId="0" borderId="3" xfId="7" applyFont="1" applyFill="1" applyBorder="1" applyAlignment="1">
      <alignment horizontal="center" vertical="center" wrapText="1"/>
    </xf>
    <xf numFmtId="0" fontId="47" fillId="0" borderId="3" xfId="7" applyFont="1" applyFill="1" applyBorder="1" applyAlignment="1">
      <alignment vertical="center" wrapText="1"/>
    </xf>
    <xf numFmtId="0" fontId="48" fillId="0" borderId="3" xfId="7" applyFont="1" applyFill="1" applyBorder="1" applyAlignment="1">
      <alignment horizontal="left" vertical="center" wrapText="1"/>
    </xf>
    <xf numFmtId="169" fontId="4" fillId="0" borderId="3" xfId="30" applyNumberFormat="1" applyFont="1" applyFill="1" applyBorder="1" applyAlignment="1">
      <alignment horizontal="right" vertical="center" wrapText="1"/>
    </xf>
    <xf numFmtId="9" fontId="4" fillId="0" borderId="3" xfId="30" applyNumberFormat="1" applyFont="1" applyFill="1" applyBorder="1" applyAlignment="1">
      <alignment horizontal="right" vertical="center" wrapText="1"/>
    </xf>
    <xf numFmtId="0" fontId="49" fillId="0" borderId="3" xfId="7" applyFont="1" applyFill="1" applyBorder="1" applyAlignment="1">
      <alignment horizontal="center" vertical="center" wrapText="1"/>
    </xf>
    <xf numFmtId="0" fontId="49" fillId="0" borderId="3" xfId="7" applyFont="1" applyFill="1" applyBorder="1" applyAlignment="1">
      <alignment vertical="center" wrapText="1"/>
    </xf>
    <xf numFmtId="3" fontId="45" fillId="0" borderId="3" xfId="7" applyNumberFormat="1" applyFont="1" applyFill="1" applyBorder="1" applyAlignment="1">
      <alignment horizontal="center" vertical="center" wrapText="1"/>
    </xf>
    <xf numFmtId="3" fontId="6" fillId="0" borderId="0" xfId="7" applyNumberFormat="1" applyFont="1" applyFill="1" applyBorder="1" applyAlignment="1">
      <alignment horizontal="right" vertical="center" wrapText="1"/>
    </xf>
    <xf numFmtId="174" fontId="4" fillId="0" borderId="0" xfId="30" applyNumberFormat="1" applyFont="1" applyFill="1" applyBorder="1" applyAlignment="1">
      <alignment horizontal="right" vertical="center" wrapText="1"/>
    </xf>
    <xf numFmtId="0" fontId="50" fillId="0" borderId="3" xfId="7" applyFont="1" applyFill="1" applyBorder="1" applyAlignment="1">
      <alignment horizontal="left" vertical="center" wrapText="1"/>
    </xf>
    <xf numFmtId="3" fontId="15" fillId="0" borderId="3" xfId="7" applyNumberFormat="1" applyFont="1" applyFill="1" applyBorder="1" applyAlignment="1">
      <alignment horizontal="center" vertical="center" wrapText="1"/>
    </xf>
    <xf numFmtId="3" fontId="4" fillId="0" borderId="0" xfId="7" applyNumberFormat="1" applyFont="1" applyFill="1" applyBorder="1" applyAlignment="1">
      <alignment horizontal="right" vertical="center" wrapText="1"/>
    </xf>
    <xf numFmtId="0" fontId="4" fillId="0" borderId="0" xfId="7" applyFont="1" applyFill="1" applyBorder="1" applyAlignment="1">
      <alignment horizontal="left" vertical="center" wrapText="1"/>
    </xf>
    <xf numFmtId="9" fontId="4" fillId="2" borderId="0" xfId="7" applyNumberFormat="1" applyFont="1" applyFill="1" applyAlignment="1">
      <alignment vertical="center" wrapText="1"/>
    </xf>
    <xf numFmtId="9" fontId="8" fillId="0" borderId="0" xfId="7" applyNumberFormat="1" applyFont="1" applyFill="1" applyAlignment="1">
      <alignment vertical="center"/>
    </xf>
    <xf numFmtId="3" fontId="15" fillId="0" borderId="0" xfId="7" applyNumberFormat="1" applyFont="1" applyFill="1" applyBorder="1" applyAlignment="1">
      <alignment horizontal="center" vertical="top" wrapText="1"/>
    </xf>
    <xf numFmtId="0" fontId="4" fillId="2" borderId="0" xfId="7" applyFont="1" applyFill="1" applyAlignment="1">
      <alignment vertical="center" wrapText="1"/>
    </xf>
    <xf numFmtId="3" fontId="4" fillId="0" borderId="0" xfId="7" applyNumberFormat="1" applyFont="1" applyFill="1" applyBorder="1" applyAlignment="1">
      <alignment horizontal="center" vertical="center" wrapText="1"/>
    </xf>
    <xf numFmtId="0" fontId="38" fillId="0" borderId="3" xfId="7" applyFont="1" applyFill="1" applyBorder="1" applyAlignment="1">
      <alignment horizontal="center" vertical="center" wrapText="1"/>
    </xf>
    <xf numFmtId="0" fontId="38" fillId="0" borderId="3" xfId="7" applyFont="1" applyFill="1" applyBorder="1" applyAlignment="1">
      <alignment vertical="center" wrapText="1"/>
    </xf>
    <xf numFmtId="0" fontId="51" fillId="0" borderId="3" xfId="7" applyFont="1" applyFill="1" applyBorder="1" applyAlignment="1">
      <alignment horizontal="left" vertical="center" wrapText="1"/>
    </xf>
    <xf numFmtId="169" fontId="38" fillId="0" borderId="3" xfId="30" applyNumberFormat="1" applyFont="1" applyFill="1" applyBorder="1" applyAlignment="1">
      <alignment horizontal="right" vertical="center" wrapText="1"/>
    </xf>
    <xf numFmtId="0" fontId="52" fillId="0" borderId="3" xfId="7" applyFont="1" applyFill="1" applyBorder="1" applyAlignment="1">
      <alignment horizontal="left" vertical="center" wrapText="1"/>
    </xf>
    <xf numFmtId="0" fontId="49" fillId="0" borderId="3" xfId="7" applyFont="1" applyFill="1" applyBorder="1" applyAlignment="1">
      <alignment vertical="center"/>
    </xf>
    <xf numFmtId="0" fontId="18" fillId="0" borderId="3" xfId="7" applyFont="1" applyFill="1" applyBorder="1" applyAlignment="1">
      <alignment horizontal="left" vertical="center" wrapText="1"/>
    </xf>
    <xf numFmtId="0" fontId="45" fillId="0" borderId="3" xfId="7" applyFont="1" applyFill="1" applyBorder="1" applyAlignment="1">
      <alignment horizontal="center" vertical="center" wrapText="1"/>
    </xf>
    <xf numFmtId="0" fontId="6" fillId="0" borderId="0" xfId="7" applyFont="1" applyFill="1" applyBorder="1" applyAlignment="1">
      <alignment vertical="center" wrapText="1"/>
    </xf>
    <xf numFmtId="0" fontId="6" fillId="0" borderId="0" xfId="7" applyFont="1" applyFill="1" applyAlignment="1">
      <alignment vertical="center" wrapText="1"/>
    </xf>
    <xf numFmtId="2" fontId="15" fillId="0" borderId="3" xfId="7" applyNumberFormat="1" applyFont="1" applyFill="1" applyBorder="1" applyAlignment="1">
      <alignment horizontal="center" vertical="center" wrapText="1"/>
    </xf>
    <xf numFmtId="2" fontId="4" fillId="0" borderId="0" xfId="7" applyNumberFormat="1" applyFont="1" applyFill="1" applyBorder="1" applyAlignment="1">
      <alignment vertical="center" wrapText="1"/>
    </xf>
    <xf numFmtId="0" fontId="18" fillId="0" borderId="3" xfId="7" applyFont="1" applyFill="1" applyBorder="1" applyAlignment="1">
      <alignment horizontal="center" vertical="center" wrapText="1"/>
    </xf>
    <xf numFmtId="3" fontId="4" fillId="0" borderId="3" xfId="7" applyNumberFormat="1" applyFont="1" applyFill="1" applyBorder="1" applyAlignment="1">
      <alignment horizontal="left" vertical="center" wrapText="1"/>
    </xf>
    <xf numFmtId="0" fontId="18" fillId="0" borderId="3" xfId="7" applyFont="1" applyFill="1" applyBorder="1" applyAlignment="1">
      <alignment vertical="center" wrapText="1"/>
    </xf>
    <xf numFmtId="0" fontId="6" fillId="2" borderId="0" xfId="7" applyFont="1" applyFill="1" applyBorder="1" applyAlignment="1">
      <alignment vertical="center" wrapText="1"/>
    </xf>
    <xf numFmtId="0" fontId="4" fillId="2" borderId="0" xfId="7" applyFont="1" applyFill="1" applyBorder="1" applyAlignment="1">
      <alignment vertical="center" wrapText="1"/>
    </xf>
    <xf numFmtId="0" fontId="4" fillId="0" borderId="0" xfId="30" applyNumberFormat="1" applyFont="1" applyFill="1" applyAlignment="1">
      <alignment vertical="center" wrapText="1"/>
    </xf>
    <xf numFmtId="174" fontId="4" fillId="0" borderId="0" xfId="30" applyNumberFormat="1" applyFont="1" applyFill="1" applyBorder="1" applyAlignment="1">
      <alignment horizontal="left" vertical="center" wrapText="1"/>
    </xf>
    <xf numFmtId="0" fontId="18" fillId="0" borderId="6" xfId="7" applyFont="1" applyFill="1" applyBorder="1" applyAlignment="1">
      <alignment horizontal="center" vertical="center" wrapText="1"/>
    </xf>
    <xf numFmtId="9" fontId="4" fillId="0" borderId="6" xfId="7" applyNumberFormat="1" applyFont="1" applyFill="1" applyBorder="1" applyAlignment="1">
      <alignment horizontal="right" vertical="center" wrapText="1"/>
    </xf>
    <xf numFmtId="0" fontId="4" fillId="0" borderId="0" xfId="7" applyFont="1" applyFill="1" applyBorder="1" applyAlignment="1">
      <alignment horizontal="center" vertical="center" wrapText="1"/>
    </xf>
    <xf numFmtId="9" fontId="4" fillId="0" borderId="0" xfId="7" applyNumberFormat="1" applyFont="1" applyFill="1" applyAlignment="1">
      <alignment horizontal="right" vertical="center" wrapText="1"/>
    </xf>
    <xf numFmtId="0" fontId="6" fillId="0" borderId="0" xfId="149" applyFont="1" applyFill="1" applyAlignment="1">
      <alignment horizontal="left" vertical="center" wrapText="1"/>
    </xf>
    <xf numFmtId="0" fontId="4" fillId="0" borderId="0" xfId="149" applyFont="1" applyFill="1" applyAlignment="1">
      <alignment vertical="center" wrapText="1"/>
    </xf>
    <xf numFmtId="0" fontId="4" fillId="0" borderId="0" xfId="149" applyFont="1" applyFill="1" applyAlignment="1">
      <alignment horizontal="left" vertical="center" wrapText="1"/>
    </xf>
    <xf numFmtId="3" fontId="4" fillId="0" borderId="0" xfId="149" applyNumberFormat="1" applyFont="1" applyFill="1" applyAlignment="1">
      <alignment horizontal="right" vertical="center" wrapText="1"/>
    </xf>
    <xf numFmtId="3" fontId="5" fillId="0" borderId="0" xfId="149" applyNumberFormat="1" applyFont="1" applyFill="1" applyAlignment="1">
      <alignment horizontal="center" vertical="center" wrapText="1"/>
    </xf>
    <xf numFmtId="3" fontId="4" fillId="0" borderId="0" xfId="149" applyNumberFormat="1" applyFont="1" applyFill="1" applyAlignment="1">
      <alignment horizontal="center" vertical="center" wrapText="1"/>
    </xf>
    <xf numFmtId="3" fontId="5" fillId="0" borderId="0" xfId="149" applyNumberFormat="1" applyFont="1" applyFill="1" applyAlignment="1">
      <alignment horizontal="left" vertical="center" wrapText="1"/>
    </xf>
    <xf numFmtId="0" fontId="8" fillId="0" borderId="0" xfId="149" applyFont="1" applyFill="1" applyAlignment="1">
      <alignment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0" fontId="8" fillId="0" borderId="0" xfId="149" applyFont="1" applyFill="1" applyBorder="1" applyAlignment="1">
      <alignment horizontal="left" vertical="center" wrapText="1"/>
    </xf>
    <xf numFmtId="3" fontId="8" fillId="0" borderId="0" xfId="149" applyNumberFormat="1" applyFont="1" applyFill="1" applyBorder="1" applyAlignment="1">
      <alignment horizontal="right" vertical="center" wrapText="1"/>
    </xf>
    <xf numFmtId="3" fontId="8" fillId="0" borderId="0" xfId="149" applyNumberFormat="1" applyFont="1" applyFill="1" applyBorder="1" applyAlignment="1">
      <alignment horizontal="center" vertical="center" wrapText="1"/>
    </xf>
    <xf numFmtId="0" fontId="6" fillId="0" borderId="2" xfId="149" applyFont="1" applyFill="1" applyBorder="1" applyAlignment="1">
      <alignment horizontal="center" vertical="center" wrapText="1"/>
    </xf>
    <xf numFmtId="0" fontId="6" fillId="0" borderId="0" xfId="149" applyFont="1" applyFill="1" applyBorder="1" applyAlignment="1">
      <alignment horizontal="center" vertical="center" wrapText="1"/>
    </xf>
    <xf numFmtId="3" fontId="6" fillId="0" borderId="8" xfId="149" applyNumberFormat="1" applyFont="1" applyFill="1" applyBorder="1" applyAlignment="1">
      <alignment horizontal="right" vertical="center" wrapText="1"/>
    </xf>
    <xf numFmtId="9" fontId="6" fillId="0" borderId="8" xfId="149" applyNumberFormat="1" applyFont="1" applyFill="1" applyBorder="1" applyAlignment="1">
      <alignment horizontal="right" vertical="center" wrapText="1"/>
    </xf>
    <xf numFmtId="0" fontId="45" fillId="0" borderId="8" xfId="149" applyFont="1" applyFill="1" applyBorder="1" applyAlignment="1">
      <alignment horizontal="center" vertical="center" wrapText="1"/>
    </xf>
    <xf numFmtId="0" fontId="6" fillId="0" borderId="0" xfId="149" applyFont="1" applyFill="1" applyBorder="1" applyAlignment="1">
      <alignment vertical="center" wrapText="1"/>
    </xf>
    <xf numFmtId="43" fontId="4" fillId="0" borderId="0" xfId="150" applyFont="1" applyFill="1" applyAlignment="1">
      <alignment vertical="center" wrapText="1"/>
    </xf>
    <xf numFmtId="43" fontId="4" fillId="0" borderId="0" xfId="150" applyNumberFormat="1" applyFont="1" applyFill="1" applyAlignment="1">
      <alignment vertical="center" wrapText="1"/>
    </xf>
    <xf numFmtId="9" fontId="4" fillId="0" borderId="0" xfId="149" applyNumberFormat="1" applyFont="1" applyFill="1" applyAlignment="1">
      <alignment vertical="center" wrapText="1"/>
    </xf>
    <xf numFmtId="0" fontId="6" fillId="0" borderId="3" xfId="149" applyFont="1" applyFill="1" applyBorder="1" applyAlignment="1">
      <alignment horizontal="center" vertical="center" wrapText="1"/>
    </xf>
    <xf numFmtId="0" fontId="6" fillId="0" borderId="3" xfId="149" applyFont="1" applyFill="1" applyBorder="1" applyAlignment="1">
      <alignment horizontal="left" vertical="center" wrapText="1"/>
    </xf>
    <xf numFmtId="3" fontId="6" fillId="0" borderId="3" xfId="149" applyNumberFormat="1" applyFont="1" applyFill="1" applyBorder="1" applyAlignment="1">
      <alignment horizontal="center" vertical="center" wrapText="1"/>
    </xf>
    <xf numFmtId="9" fontId="6" fillId="0" borderId="3" xfId="149" applyNumberFormat="1" applyFont="1" applyFill="1" applyBorder="1" applyAlignment="1">
      <alignment horizontal="right" vertical="center" wrapText="1"/>
    </xf>
    <xf numFmtId="0" fontId="45" fillId="0" borderId="3" xfId="149" applyFont="1" applyFill="1" applyBorder="1" applyAlignment="1">
      <alignment horizontal="center" vertical="center" wrapText="1"/>
    </xf>
    <xf numFmtId="43" fontId="6" fillId="0" borderId="0" xfId="150" applyFont="1" applyFill="1" applyAlignment="1">
      <alignment vertical="center" wrapText="1"/>
    </xf>
    <xf numFmtId="43" fontId="6" fillId="0" borderId="0" xfId="150" applyNumberFormat="1" applyFont="1" applyFill="1" applyAlignment="1">
      <alignment vertical="center" wrapText="1"/>
    </xf>
    <xf numFmtId="9" fontId="6" fillId="0" borderId="0" xfId="149" applyNumberFormat="1" applyFont="1" applyFill="1" applyAlignment="1">
      <alignment vertical="center" wrapText="1"/>
    </xf>
    <xf numFmtId="0" fontId="6" fillId="0" borderId="0" xfId="149" applyFont="1" applyFill="1" applyAlignment="1">
      <alignment vertical="center" wrapText="1"/>
    </xf>
    <xf numFmtId="0" fontId="47" fillId="0" borderId="3" xfId="149" applyFont="1" applyFill="1" applyBorder="1" applyAlignment="1">
      <alignment horizontal="center" vertical="center" wrapText="1"/>
    </xf>
    <xf numFmtId="0" fontId="47" fillId="0" borderId="3" xfId="149" applyFont="1" applyFill="1" applyBorder="1" applyAlignment="1">
      <alignment vertical="center" wrapText="1"/>
    </xf>
    <xf numFmtId="0" fontId="4" fillId="0" borderId="3" xfId="149" applyFont="1" applyFill="1" applyBorder="1" applyAlignment="1">
      <alignment horizontal="left" vertical="center" wrapText="1"/>
    </xf>
    <xf numFmtId="3" fontId="4" fillId="0" borderId="3" xfId="149" applyNumberFormat="1" applyFont="1" applyFill="1" applyBorder="1" applyAlignment="1">
      <alignment horizontal="center" vertical="center" wrapText="1"/>
    </xf>
    <xf numFmtId="3" fontId="4" fillId="0" borderId="3" xfId="149" applyNumberFormat="1" applyFont="1" applyFill="1" applyBorder="1" applyAlignment="1">
      <alignment horizontal="right" vertical="center" wrapText="1"/>
    </xf>
    <xf numFmtId="9" fontId="4" fillId="0" borderId="3" xfId="149" applyNumberFormat="1" applyFont="1" applyFill="1" applyBorder="1" applyAlignment="1">
      <alignment horizontal="right" vertical="center" wrapText="1"/>
    </xf>
    <xf numFmtId="0" fontId="15" fillId="0" borderId="3" xfId="149" applyFont="1" applyFill="1" applyBorder="1" applyAlignment="1">
      <alignment horizontal="center" vertical="center" wrapText="1"/>
    </xf>
    <xf numFmtId="0" fontId="4" fillId="0" borderId="0" xfId="149" applyFont="1" applyFill="1" applyBorder="1" applyAlignment="1">
      <alignment vertical="center" wrapText="1"/>
    </xf>
    <xf numFmtId="0" fontId="47" fillId="0" borderId="3" xfId="149" applyFont="1" applyFill="1" applyBorder="1" applyAlignment="1">
      <alignment horizontal="left" vertical="center" wrapText="1"/>
    </xf>
    <xf numFmtId="0" fontId="18" fillId="0" borderId="0" xfId="149" applyFont="1" applyFill="1" applyBorder="1" applyAlignment="1">
      <alignment vertical="center" wrapText="1"/>
    </xf>
    <xf numFmtId="0" fontId="4" fillId="0" borderId="0" xfId="149" applyFont="1" applyFill="1" applyBorder="1" applyAlignment="1">
      <alignment horizontal="center" vertical="center" wrapText="1"/>
    </xf>
    <xf numFmtId="0" fontId="4" fillId="0" borderId="3" xfId="149" applyFont="1" applyFill="1" applyBorder="1" applyAlignment="1">
      <alignment vertical="center" wrapText="1"/>
    </xf>
    <xf numFmtId="0" fontId="49" fillId="0" borderId="3" xfId="149" applyFont="1" applyFill="1" applyBorder="1" applyAlignment="1">
      <alignment horizontal="center" vertical="center" wrapText="1"/>
    </xf>
    <xf numFmtId="0" fontId="49" fillId="0" borderId="3" xfId="149" applyFont="1" applyFill="1" applyBorder="1" applyAlignment="1">
      <alignment vertical="center" wrapText="1"/>
    </xf>
    <xf numFmtId="0" fontId="49" fillId="0" borderId="3" xfId="149" applyFont="1" applyFill="1" applyBorder="1" applyAlignment="1">
      <alignment horizontal="left" vertical="center" wrapText="1"/>
    </xf>
    <xf numFmtId="3" fontId="6" fillId="0" borderId="3" xfId="149" applyNumberFormat="1" applyFont="1" applyFill="1" applyBorder="1" applyAlignment="1">
      <alignment horizontal="right" vertical="center" wrapText="1"/>
    </xf>
    <xf numFmtId="0" fontId="48" fillId="0" borderId="3" xfId="149" applyFont="1" applyFill="1" applyBorder="1" applyAlignment="1">
      <alignment horizontal="left" vertical="center" wrapText="1"/>
    </xf>
    <xf numFmtId="169" fontId="4" fillId="0" borderId="3" xfId="55" applyNumberFormat="1" applyFont="1" applyFill="1" applyBorder="1" applyAlignment="1">
      <alignment horizontal="right" vertical="center" wrapText="1"/>
    </xf>
    <xf numFmtId="169" fontId="4" fillId="0" borderId="0" xfId="150" applyNumberFormat="1" applyFont="1" applyFill="1" applyAlignment="1">
      <alignment vertical="center" wrapText="1"/>
    </xf>
    <xf numFmtId="0" fontId="47" fillId="0" borderId="6" xfId="149" applyFont="1" applyFill="1" applyBorder="1" applyAlignment="1">
      <alignment horizontal="center" vertical="center" wrapText="1"/>
    </xf>
    <xf numFmtId="0" fontId="4" fillId="0" borderId="6" xfId="149" applyFont="1" applyFill="1" applyBorder="1" applyAlignment="1">
      <alignment vertical="center" wrapText="1"/>
    </xf>
    <xf numFmtId="0" fontId="47" fillId="0" borderId="6" xfId="149" applyFont="1" applyFill="1" applyBorder="1" applyAlignment="1">
      <alignment horizontal="left" vertical="center" wrapText="1"/>
    </xf>
    <xf numFmtId="3" fontId="4" fillId="0" borderId="6" xfId="149" applyNumberFormat="1" applyFont="1" applyFill="1" applyBorder="1" applyAlignment="1">
      <alignment horizontal="right" vertical="center" wrapText="1"/>
    </xf>
    <xf numFmtId="9" fontId="4" fillId="0" borderId="6" xfId="149" applyNumberFormat="1" applyFont="1" applyFill="1" applyBorder="1" applyAlignment="1">
      <alignment horizontal="right" vertical="center" wrapText="1"/>
    </xf>
    <xf numFmtId="0" fontId="15" fillId="0" borderId="6" xfId="149" applyFont="1" applyFill="1" applyBorder="1" applyAlignment="1">
      <alignment horizontal="center" vertical="center" wrapText="1"/>
    </xf>
    <xf numFmtId="0" fontId="47" fillId="0" borderId="8" xfId="149" applyFont="1" applyFill="1" applyBorder="1" applyAlignment="1">
      <alignment horizontal="center" vertical="center" wrapText="1"/>
    </xf>
    <xf numFmtId="0" fontId="47" fillId="0" borderId="8" xfId="149" applyFont="1" applyFill="1" applyBorder="1" applyAlignment="1">
      <alignment vertical="center" wrapText="1"/>
    </xf>
    <xf numFmtId="0" fontId="47" fillId="0" borderId="8" xfId="149" applyFont="1" applyFill="1" applyBorder="1" applyAlignment="1">
      <alignment horizontal="left" vertical="center" wrapText="1"/>
    </xf>
    <xf numFmtId="3" fontId="4" fillId="0" borderId="8" xfId="149" applyNumberFormat="1" applyFont="1" applyFill="1" applyBorder="1" applyAlignment="1">
      <alignment horizontal="right" vertical="center" wrapText="1"/>
    </xf>
    <xf numFmtId="9" fontId="4" fillId="0" borderId="8" xfId="149" applyNumberFormat="1" applyFont="1" applyFill="1" applyBorder="1" applyAlignment="1">
      <alignment horizontal="right" vertical="center" wrapText="1"/>
    </xf>
    <xf numFmtId="0" fontId="15" fillId="0" borderId="8" xfId="149" applyFont="1" applyFill="1" applyBorder="1" applyAlignment="1">
      <alignment horizontal="center" vertical="center" wrapText="1"/>
    </xf>
    <xf numFmtId="0" fontId="4" fillId="0" borderId="8" xfId="149" applyFont="1" applyFill="1" applyBorder="1" applyAlignment="1">
      <alignment vertical="center" wrapText="1"/>
    </xf>
    <xf numFmtId="0" fontId="8" fillId="0" borderId="3" xfId="149" applyFont="1" applyFill="1" applyBorder="1" applyAlignment="1">
      <alignment vertical="center" wrapText="1"/>
    </xf>
    <xf numFmtId="3" fontId="4" fillId="0" borderId="0" xfId="149" applyNumberFormat="1" applyFont="1" applyFill="1" applyAlignment="1">
      <alignment vertical="center" wrapText="1"/>
    </xf>
    <xf numFmtId="0" fontId="18" fillId="0" borderId="0" xfId="149" applyFont="1" applyFill="1" applyBorder="1" applyAlignment="1">
      <alignment horizontal="left" vertical="center" wrapText="1"/>
    </xf>
    <xf numFmtId="9" fontId="4" fillId="0" borderId="0" xfId="149" applyNumberFormat="1" applyFont="1" applyFill="1" applyAlignment="1">
      <alignment vertical="center"/>
    </xf>
    <xf numFmtId="0" fontId="4" fillId="0" borderId="3" xfId="149" applyFont="1" applyFill="1" applyBorder="1" applyAlignment="1">
      <alignment horizontal="center" vertical="center" wrapText="1"/>
    </xf>
    <xf numFmtId="0" fontId="47" fillId="0" borderId="3" xfId="149" applyFont="1" applyFill="1" applyBorder="1" applyAlignment="1">
      <alignment horizontal="left" wrapText="1"/>
    </xf>
    <xf numFmtId="0" fontId="4" fillId="0" borderId="6" xfId="149" applyFont="1" applyFill="1" applyBorder="1" applyAlignment="1">
      <alignment horizontal="center" vertical="center" wrapText="1"/>
    </xf>
    <xf numFmtId="0" fontId="55" fillId="0" borderId="0" xfId="149" applyFont="1" applyFill="1" applyBorder="1" applyAlignment="1">
      <alignment vertical="center" wrapText="1"/>
    </xf>
    <xf numFmtId="0" fontId="4" fillId="0" borderId="8" xfId="149" applyFont="1" applyFill="1" applyBorder="1" applyAlignment="1">
      <alignment horizontal="center" vertical="center" wrapText="1"/>
    </xf>
    <xf numFmtId="0" fontId="4" fillId="0" borderId="0" xfId="149" applyFont="1" applyFill="1" applyBorder="1" applyAlignment="1">
      <alignment horizontal="left" vertical="center" wrapText="1"/>
    </xf>
    <xf numFmtId="0" fontId="18" fillId="0" borderId="3" xfId="149" applyFont="1" applyFill="1" applyBorder="1" applyAlignment="1">
      <alignment vertical="center" wrapText="1"/>
    </xf>
    <xf numFmtId="0" fontId="6" fillId="0" borderId="3" xfId="149" applyFont="1" applyFill="1" applyBorder="1" applyAlignment="1">
      <alignment vertical="center" wrapText="1"/>
    </xf>
    <xf numFmtId="0" fontId="4" fillId="0" borderId="0" xfId="149" applyFont="1" applyFill="1" applyAlignment="1">
      <alignment horizontal="center" vertical="center" wrapText="1"/>
    </xf>
    <xf numFmtId="9" fontId="4" fillId="0" borderId="0" xfId="149" applyNumberFormat="1" applyFont="1" applyFill="1" applyAlignment="1">
      <alignment horizontal="right" vertical="center" wrapText="1"/>
    </xf>
    <xf numFmtId="0" fontId="15" fillId="0" borderId="0" xfId="149" applyFont="1" applyFill="1" applyAlignment="1">
      <alignment horizontal="center" vertical="center" wrapText="1"/>
    </xf>
    <xf numFmtId="0" fontId="56" fillId="0" borderId="0" xfId="149" applyFont="1" applyFill="1" applyAlignment="1">
      <alignment horizontal="left"/>
    </xf>
    <xf numFmtId="0" fontId="54" fillId="0" borderId="0" xfId="149" applyFill="1"/>
    <xf numFmtId="3" fontId="54" fillId="0" borderId="0" xfId="149" applyNumberFormat="1" applyFill="1" applyAlignment="1">
      <alignment horizontal="right"/>
    </xf>
    <xf numFmtId="0" fontId="58" fillId="0" borderId="0" xfId="149" applyFont="1" applyFill="1" applyBorder="1" applyAlignment="1">
      <alignment horizontal="center"/>
    </xf>
    <xf numFmtId="3" fontId="58" fillId="0" borderId="0" xfId="149" applyNumberFormat="1" applyFont="1" applyFill="1" applyBorder="1" applyAlignment="1">
      <alignment horizontal="right"/>
    </xf>
    <xf numFmtId="3" fontId="6" fillId="0" borderId="2" xfId="149" applyNumberFormat="1" applyFont="1" applyFill="1" applyBorder="1" applyAlignment="1">
      <alignment horizontal="right" vertical="center"/>
    </xf>
    <xf numFmtId="9" fontId="6" fillId="0" borderId="2" xfId="149" applyNumberFormat="1" applyFont="1" applyFill="1" applyBorder="1" applyAlignment="1">
      <alignment horizontal="right" vertical="center"/>
    </xf>
    <xf numFmtId="0" fontId="10" fillId="0" borderId="2" xfId="149" applyFont="1" applyFill="1" applyBorder="1" applyAlignment="1">
      <alignment vertical="center" wrapText="1"/>
    </xf>
    <xf numFmtId="9" fontId="54" fillId="0" borderId="0" xfId="149" applyNumberFormat="1" applyFill="1" applyAlignment="1">
      <alignment vertical="center"/>
    </xf>
    <xf numFmtId="0" fontId="54" fillId="0" borderId="0" xfId="149" applyFill="1" applyAlignment="1">
      <alignment vertical="center"/>
    </xf>
    <xf numFmtId="0" fontId="49" fillId="0" borderId="8" xfId="149" applyFont="1" applyFill="1" applyBorder="1" applyAlignment="1">
      <alignment horizontal="center" wrapText="1"/>
    </xf>
    <xf numFmtId="0" fontId="49" fillId="0" borderId="8" xfId="149" applyFont="1" applyFill="1" applyBorder="1" applyAlignment="1"/>
    <xf numFmtId="3" fontId="8" fillId="0" borderId="8" xfId="149" applyNumberFormat="1" applyFont="1" applyFill="1" applyBorder="1" applyAlignment="1">
      <alignment horizontal="right" wrapText="1"/>
    </xf>
    <xf numFmtId="3" fontId="6" fillId="0" borderId="8" xfId="149" applyNumberFormat="1" applyFont="1" applyFill="1" applyBorder="1" applyAlignment="1">
      <alignment horizontal="right" wrapText="1"/>
    </xf>
    <xf numFmtId="3" fontId="6" fillId="0" borderId="8" xfId="149" applyNumberFormat="1" applyFont="1" applyFill="1" applyBorder="1" applyAlignment="1">
      <alignment horizontal="right"/>
    </xf>
    <xf numFmtId="9" fontId="6" fillId="0" borderId="8" xfId="149" applyNumberFormat="1" applyFont="1" applyFill="1" applyBorder="1" applyAlignment="1">
      <alignment horizontal="right"/>
    </xf>
    <xf numFmtId="9" fontId="54" fillId="0" borderId="0" xfId="149" applyNumberFormat="1" applyFill="1"/>
    <xf numFmtId="0" fontId="49" fillId="0" borderId="3" xfId="149" applyFont="1" applyFill="1" applyBorder="1" applyAlignment="1">
      <alignment horizontal="center" wrapText="1"/>
    </xf>
    <xf numFmtId="0" fontId="49" fillId="0" borderId="3" xfId="149" applyFont="1" applyFill="1" applyBorder="1" applyAlignment="1"/>
    <xf numFmtId="3" fontId="5" fillId="0" borderId="3" xfId="149" applyNumberFormat="1" applyFont="1" applyFill="1" applyBorder="1" applyAlignment="1">
      <alignment horizontal="right" wrapText="1"/>
    </xf>
    <xf numFmtId="3" fontId="6" fillId="0" borderId="3" xfId="149" applyNumberFormat="1" applyFont="1" applyFill="1" applyBorder="1" applyAlignment="1">
      <alignment horizontal="right" wrapText="1"/>
    </xf>
    <xf numFmtId="9" fontId="6" fillId="0" borderId="3" xfId="149" applyNumberFormat="1" applyFont="1" applyFill="1" applyBorder="1" applyAlignment="1">
      <alignment horizontal="right" wrapText="1"/>
    </xf>
    <xf numFmtId="9" fontId="56" fillId="0" borderId="0" xfId="149" applyNumberFormat="1" applyFont="1" applyFill="1"/>
    <xf numFmtId="0" fontId="56" fillId="0" borderId="0" xfId="149" applyFont="1" applyFill="1"/>
    <xf numFmtId="0" fontId="59" fillId="0" borderId="3" xfId="149" applyFont="1" applyFill="1" applyBorder="1" applyAlignment="1">
      <alignment horizontal="center" wrapText="1"/>
    </xf>
    <xf numFmtId="0" fontId="59" fillId="0" borderId="3" xfId="149" applyFont="1" applyFill="1" applyBorder="1" applyAlignment="1"/>
    <xf numFmtId="0" fontId="60" fillId="0" borderId="3" xfId="149" applyFont="1" applyFill="1" applyBorder="1" applyAlignment="1">
      <alignment horizontal="center" vertical="center" wrapText="1"/>
    </xf>
    <xf numFmtId="9" fontId="57" fillId="0" borderId="0" xfId="149" applyNumberFormat="1" applyFont="1" applyFill="1"/>
    <xf numFmtId="0" fontId="57" fillId="0" borderId="0" xfId="149" applyFont="1" applyFill="1"/>
    <xf numFmtId="0" fontId="4" fillId="0" borderId="3" xfId="149" applyFont="1" applyFill="1" applyBorder="1" applyAlignment="1">
      <alignment vertical="center"/>
    </xf>
    <xf numFmtId="0" fontId="4" fillId="0" borderId="3" xfId="149" applyFont="1" applyFill="1" applyBorder="1" applyAlignment="1">
      <alignment horizontal="justify" wrapText="1"/>
    </xf>
    <xf numFmtId="3" fontId="4" fillId="0" borderId="3" xfId="149" applyNumberFormat="1" applyFont="1" applyFill="1" applyBorder="1" applyAlignment="1">
      <alignment horizontal="right" vertical="center"/>
    </xf>
    <xf numFmtId="9" fontId="4" fillId="0" borderId="3" xfId="149" applyNumberFormat="1" applyFont="1" applyFill="1" applyBorder="1" applyAlignment="1">
      <alignment horizontal="right" wrapText="1"/>
    </xf>
    <xf numFmtId="0" fontId="15" fillId="0" borderId="3" xfId="149" applyFont="1" applyFill="1" applyBorder="1" applyAlignment="1">
      <alignment horizontal="left" vertical="center" wrapText="1"/>
    </xf>
    <xf numFmtId="9" fontId="10" fillId="0" borderId="0" xfId="149" applyNumberFormat="1" applyFont="1" applyFill="1"/>
    <xf numFmtId="0" fontId="10" fillId="0" borderId="0" xfId="149" applyFont="1" applyFill="1"/>
    <xf numFmtId="0" fontId="47" fillId="0" borderId="3" xfId="149" applyFont="1" applyFill="1" applyBorder="1" applyAlignment="1">
      <alignment horizontal="center" wrapText="1"/>
    </xf>
    <xf numFmtId="3" fontId="4" fillId="0" borderId="3" xfId="149" applyNumberFormat="1" applyFont="1" applyFill="1" applyBorder="1" applyAlignment="1">
      <alignment horizontal="right"/>
    </xf>
    <xf numFmtId="0" fontId="15" fillId="0" borderId="3" xfId="149" applyFont="1" applyFill="1" applyBorder="1" applyAlignment="1">
      <alignment wrapText="1"/>
    </xf>
    <xf numFmtId="9" fontId="10" fillId="0" borderId="0" xfId="149" applyNumberFormat="1" applyFont="1" applyFill="1" applyAlignment="1">
      <alignment wrapText="1"/>
    </xf>
    <xf numFmtId="0" fontId="59" fillId="0" borderId="3" xfId="149" applyFont="1" applyFill="1" applyBorder="1" applyAlignment="1">
      <alignment wrapText="1"/>
    </xf>
    <xf numFmtId="3" fontId="5" fillId="0" borderId="3" xfId="149" applyNumberFormat="1" applyFont="1" applyFill="1" applyBorder="1" applyAlignment="1">
      <alignment horizontal="right" vertical="center" wrapText="1"/>
    </xf>
    <xf numFmtId="0" fontId="6" fillId="0" borderId="3" xfId="149" applyFont="1" applyFill="1" applyBorder="1" applyAlignment="1">
      <alignment horizontal="justify" wrapText="1"/>
    </xf>
    <xf numFmtId="3" fontId="6" fillId="0" borderId="3" xfId="149" applyNumberFormat="1" applyFont="1" applyFill="1" applyBorder="1" applyAlignment="1">
      <alignment horizontal="right"/>
    </xf>
    <xf numFmtId="0" fontId="5" fillId="0" borderId="3" xfId="149" applyFont="1" applyFill="1" applyBorder="1" applyAlignment="1">
      <alignment vertical="center" wrapText="1"/>
    </xf>
    <xf numFmtId="0" fontId="5" fillId="0" borderId="3" xfId="149" applyFont="1" applyFill="1" applyBorder="1" applyAlignment="1">
      <alignment horizontal="justify" wrapText="1"/>
    </xf>
    <xf numFmtId="0" fontId="47" fillId="0" borderId="5" xfId="149" applyFont="1" applyFill="1" applyBorder="1" applyAlignment="1">
      <alignment horizontal="center" wrapText="1"/>
    </xf>
    <xf numFmtId="0" fontId="4" fillId="0" borderId="5" xfId="149" applyFont="1" applyFill="1" applyBorder="1" applyAlignment="1">
      <alignment vertical="center" wrapText="1"/>
    </xf>
    <xf numFmtId="0" fontId="4" fillId="0" borderId="5" xfId="149" applyFont="1" applyFill="1" applyBorder="1" applyAlignment="1">
      <alignment horizontal="justify" wrapText="1"/>
    </xf>
    <xf numFmtId="3" fontId="4" fillId="0" borderId="5" xfId="149" applyNumberFormat="1" applyFont="1" applyFill="1" applyBorder="1" applyAlignment="1">
      <alignment horizontal="right" vertical="center" wrapText="1"/>
    </xf>
    <xf numFmtId="3" fontId="4" fillId="0" borderId="5" xfId="149" applyNumberFormat="1" applyFont="1" applyFill="1" applyBorder="1" applyAlignment="1">
      <alignment horizontal="right"/>
    </xf>
    <xf numFmtId="9" fontId="4" fillId="0" borderId="5" xfId="149" applyNumberFormat="1" applyFont="1" applyFill="1" applyBorder="1" applyAlignment="1">
      <alignment horizontal="right" wrapText="1"/>
    </xf>
    <xf numFmtId="0" fontId="15" fillId="0" borderId="5" xfId="149" applyFont="1" applyFill="1" applyBorder="1" applyAlignment="1">
      <alignment horizontal="center" vertical="center" wrapText="1"/>
    </xf>
    <xf numFmtId="0" fontId="49" fillId="0" borderId="3" xfId="149" applyFont="1" applyFill="1" applyBorder="1" applyAlignment="1">
      <alignment wrapText="1"/>
    </xf>
    <xf numFmtId="3" fontId="8" fillId="0" borderId="3" xfId="149" applyNumberFormat="1" applyFont="1" applyFill="1" applyBorder="1" applyAlignment="1">
      <alignment horizontal="right" wrapText="1"/>
    </xf>
    <xf numFmtId="0" fontId="59" fillId="0" borderId="3" xfId="149" applyFont="1" applyFill="1" applyBorder="1" applyAlignment="1">
      <alignment horizontal="center" vertical="center" wrapText="1"/>
    </xf>
    <xf numFmtId="9" fontId="61" fillId="0" borderId="0" xfId="149" applyNumberFormat="1" applyFont="1" applyFill="1"/>
    <xf numFmtId="0" fontId="47" fillId="0" borderId="3" xfId="149" applyFont="1" applyFill="1" applyBorder="1" applyAlignment="1">
      <alignment wrapText="1"/>
    </xf>
    <xf numFmtId="3" fontId="4" fillId="0" borderId="3" xfId="149" applyNumberFormat="1" applyFont="1" applyFill="1" applyBorder="1" applyAlignment="1">
      <alignment horizontal="left" wrapText="1"/>
    </xf>
    <xf numFmtId="3" fontId="4" fillId="0" borderId="3" xfId="149" applyNumberFormat="1" applyFont="1" applyFill="1" applyBorder="1" applyAlignment="1">
      <alignment horizontal="right" wrapText="1"/>
    </xf>
    <xf numFmtId="3" fontId="8" fillId="0" borderId="3" xfId="149" applyNumberFormat="1" applyFont="1" applyFill="1" applyBorder="1" applyAlignment="1">
      <alignment horizontal="right"/>
    </xf>
    <xf numFmtId="0" fontId="4" fillId="0" borderId="3" xfId="149" applyFont="1" applyFill="1" applyBorder="1" applyAlignment="1">
      <alignment horizontal="center"/>
    </xf>
    <xf numFmtId="0" fontId="4" fillId="0" borderId="3" xfId="149" applyFont="1" applyFill="1" applyBorder="1" applyAlignment="1">
      <alignment wrapText="1"/>
    </xf>
    <xf numFmtId="0" fontId="15" fillId="0" borderId="3" xfId="149" applyFont="1" applyFill="1" applyBorder="1" applyAlignment="1">
      <alignment horizontal="justify" wrapText="1"/>
    </xf>
    <xf numFmtId="0" fontId="12" fillId="0" borderId="3" xfId="149" applyFont="1" applyFill="1" applyBorder="1" applyAlignment="1">
      <alignment wrapText="1"/>
    </xf>
    <xf numFmtId="0" fontId="10" fillId="0" borderId="0" xfId="149" applyNumberFormat="1" applyFont="1" applyFill="1"/>
    <xf numFmtId="0" fontId="55" fillId="0" borderId="3" xfId="149" applyFont="1" applyFill="1" applyBorder="1" applyAlignment="1">
      <alignment wrapText="1"/>
    </xf>
    <xf numFmtId="0" fontId="5" fillId="0" borderId="3" xfId="149" applyFont="1" applyFill="1" applyBorder="1" applyAlignment="1">
      <alignment horizontal="center"/>
    </xf>
    <xf numFmtId="0" fontId="5" fillId="0" borderId="3" xfId="149" applyFont="1" applyFill="1" applyBorder="1" applyAlignment="1">
      <alignment wrapText="1"/>
    </xf>
    <xf numFmtId="3" fontId="5" fillId="0" borderId="3" xfId="149" applyNumberFormat="1" applyFont="1" applyFill="1" applyBorder="1" applyAlignment="1">
      <alignment horizontal="right"/>
    </xf>
    <xf numFmtId="0" fontId="56" fillId="0" borderId="3" xfId="149" applyFont="1" applyFill="1" applyBorder="1" applyAlignment="1">
      <alignment horizontal="center" wrapText="1"/>
    </xf>
    <xf numFmtId="0" fontId="57" fillId="0" borderId="3" xfId="149" applyFont="1" applyFill="1" applyBorder="1" applyAlignment="1">
      <alignment wrapText="1"/>
    </xf>
    <xf numFmtId="0" fontId="10" fillId="0" borderId="3" xfId="149" applyFont="1" applyFill="1" applyBorder="1" applyAlignment="1">
      <alignment wrapText="1"/>
    </xf>
    <xf numFmtId="0" fontId="5" fillId="0" borderId="3" xfId="149" applyFont="1" applyFill="1" applyBorder="1" applyAlignment="1">
      <alignment horizontal="center" vertical="center" wrapText="1"/>
    </xf>
    <xf numFmtId="0" fontId="5" fillId="0" borderId="3" xfId="149" applyFont="1" applyFill="1" applyBorder="1" applyAlignment="1">
      <alignment vertical="center"/>
    </xf>
    <xf numFmtId="49" fontId="18" fillId="0" borderId="3" xfId="149" applyNumberFormat="1" applyFont="1" applyFill="1" applyBorder="1" applyAlignment="1">
      <alignment vertical="center" wrapText="1"/>
    </xf>
    <xf numFmtId="0" fontId="10" fillId="0" borderId="3" xfId="149" applyFont="1" applyFill="1" applyBorder="1" applyAlignment="1">
      <alignment vertical="center" wrapText="1"/>
    </xf>
    <xf numFmtId="0" fontId="8" fillId="0" borderId="3" xfId="149" applyFont="1" applyFill="1" applyBorder="1" applyAlignment="1">
      <alignment horizontal="justify" wrapText="1"/>
    </xf>
    <xf numFmtId="0" fontId="61" fillId="0" borderId="0" xfId="149" applyFont="1" applyFill="1"/>
    <xf numFmtId="0" fontId="18" fillId="0" borderId="3" xfId="149" applyNumberFormat="1" applyFont="1" applyFill="1" applyBorder="1" applyAlignment="1">
      <alignment vertical="center" wrapText="1"/>
    </xf>
    <xf numFmtId="169" fontId="51" fillId="0" borderId="3" xfId="150" applyNumberFormat="1" applyFont="1" applyFill="1" applyBorder="1"/>
    <xf numFmtId="3" fontId="4" fillId="0" borderId="6" xfId="149" applyNumberFormat="1" applyFont="1" applyFill="1" applyBorder="1" applyAlignment="1">
      <alignment horizontal="right"/>
    </xf>
    <xf numFmtId="0" fontId="18" fillId="0" borderId="3" xfId="149" applyNumberFormat="1" applyFont="1" applyFill="1" applyBorder="1" applyAlignment="1">
      <alignment horizontal="left" vertical="center" wrapText="1"/>
    </xf>
    <xf numFmtId="0" fontId="18" fillId="0" borderId="3" xfId="149" applyNumberFormat="1" applyFont="1" applyFill="1" applyBorder="1" applyAlignment="1">
      <alignment horizontal="left"/>
    </xf>
    <xf numFmtId="49" fontId="62" fillId="0" borderId="3" xfId="149" applyNumberFormat="1" applyFont="1" applyFill="1" applyBorder="1" applyAlignment="1">
      <alignment vertical="center" wrapText="1"/>
    </xf>
    <xf numFmtId="0" fontId="57" fillId="0" borderId="3" xfId="149" applyFont="1" applyFill="1" applyBorder="1" applyAlignment="1">
      <alignment vertical="center" wrapText="1"/>
    </xf>
    <xf numFmtId="0" fontId="56" fillId="0" borderId="3" xfId="149" applyFont="1" applyFill="1" applyBorder="1" applyAlignment="1">
      <alignment horizontal="center" vertical="center" wrapText="1"/>
    </xf>
    <xf numFmtId="0" fontId="60" fillId="0" borderId="3" xfId="149" applyFont="1" applyFill="1" applyBorder="1" applyAlignment="1">
      <alignment horizontal="left" vertical="center" wrapText="1"/>
    </xf>
    <xf numFmtId="0" fontId="57" fillId="0" borderId="3" xfId="149" applyFont="1" applyFill="1" applyBorder="1" applyAlignment="1">
      <alignment horizontal="left" vertical="center" wrapText="1"/>
    </xf>
    <xf numFmtId="0" fontId="55" fillId="0" borderId="3" xfId="149" applyFont="1" applyFill="1" applyBorder="1" applyAlignment="1">
      <alignment horizontal="justify" vertical="center" wrapText="1"/>
    </xf>
    <xf numFmtId="0" fontId="10" fillId="0" borderId="3" xfId="149" applyFont="1" applyFill="1" applyBorder="1" applyAlignment="1">
      <alignment horizontal="left" vertical="center" wrapText="1"/>
    </xf>
    <xf numFmtId="0" fontId="6" fillId="0" borderId="4" xfId="149" applyFont="1" applyFill="1" applyBorder="1" applyAlignment="1">
      <alignment horizontal="center" vertical="center" wrapText="1"/>
    </xf>
    <xf numFmtId="0" fontId="6" fillId="0" borderId="4" xfId="149" applyFont="1" applyFill="1" applyBorder="1" applyAlignment="1">
      <alignment vertical="center" wrapText="1"/>
    </xf>
    <xf numFmtId="0" fontId="6" fillId="0" borderId="4" xfId="149" applyFont="1" applyFill="1" applyBorder="1" applyAlignment="1">
      <alignment horizontal="justify" wrapText="1"/>
    </xf>
    <xf numFmtId="3" fontId="6" fillId="0" borderId="4" xfId="149" applyNumberFormat="1" applyFont="1" applyFill="1" applyBorder="1" applyAlignment="1">
      <alignment horizontal="right" vertical="center" wrapText="1"/>
    </xf>
    <xf numFmtId="9" fontId="6" fillId="0" borderId="4" xfId="149" applyNumberFormat="1" applyFont="1" applyFill="1" applyBorder="1" applyAlignment="1">
      <alignment horizontal="right" wrapText="1"/>
    </xf>
    <xf numFmtId="0" fontId="56" fillId="0" borderId="4" xfId="149" applyFont="1" applyFill="1" applyBorder="1" applyAlignment="1">
      <alignment horizontal="center" vertical="center" wrapText="1"/>
    </xf>
    <xf numFmtId="0" fontId="15" fillId="0" borderId="3" xfId="149" applyFont="1" applyBorder="1"/>
    <xf numFmtId="0" fontId="4" fillId="0" borderId="6" xfId="149" applyFont="1" applyFill="1" applyBorder="1" applyAlignment="1">
      <alignment horizontal="justify" wrapText="1"/>
    </xf>
    <xf numFmtId="9" fontId="4" fillId="0" borderId="6" xfId="149" applyNumberFormat="1" applyFont="1" applyFill="1" applyBorder="1" applyAlignment="1">
      <alignment horizontal="right"/>
    </xf>
    <xf numFmtId="0" fontId="10" fillId="0" borderId="6" xfId="149" applyFont="1" applyFill="1" applyBorder="1" applyAlignment="1">
      <alignment wrapText="1"/>
    </xf>
    <xf numFmtId="0" fontId="54" fillId="0" borderId="0" xfId="149" applyFill="1" applyAlignment="1">
      <alignment horizontal="center"/>
    </xf>
    <xf numFmtId="9" fontId="54" fillId="0" borderId="0" xfId="149" applyNumberFormat="1" applyFill="1" applyAlignment="1">
      <alignment horizontal="right"/>
    </xf>
    <xf numFmtId="0" fontId="10" fillId="0" borderId="0" xfId="149" applyFont="1" applyFill="1" applyAlignment="1">
      <alignment wrapText="1"/>
    </xf>
    <xf numFmtId="0" fontId="15" fillId="0" borderId="0" xfId="149" applyFont="1" applyFill="1" applyAlignment="1">
      <alignment horizontal="center"/>
    </xf>
    <xf numFmtId="3" fontId="45" fillId="0" borderId="0" xfId="149" applyNumberFormat="1" applyFont="1" applyFill="1" applyAlignment="1">
      <alignment horizontal="right"/>
    </xf>
    <xf numFmtId="3" fontId="15" fillId="0" borderId="0" xfId="149" applyNumberFormat="1" applyFont="1" applyFill="1" applyAlignment="1">
      <alignment horizontal="right"/>
    </xf>
    <xf numFmtId="9" fontId="15" fillId="0" borderId="0" xfId="149" applyNumberFormat="1" applyFont="1" applyFill="1" applyAlignment="1">
      <alignment horizontal="right"/>
    </xf>
    <xf numFmtId="0" fontId="15" fillId="0" borderId="0" xfId="149" applyFont="1" applyFill="1" applyAlignment="1">
      <alignment wrapText="1"/>
    </xf>
    <xf numFmtId="0" fontId="15" fillId="0" borderId="0" xfId="149" applyFont="1" applyFill="1"/>
    <xf numFmtId="169" fontId="6" fillId="0" borderId="0" xfId="150" applyNumberFormat="1" applyFont="1" applyFill="1"/>
    <xf numFmtId="9" fontId="6" fillId="0" borderId="0" xfId="150" applyNumberFormat="1" applyFont="1" applyFill="1"/>
    <xf numFmtId="169" fontId="10" fillId="0" borderId="0" xfId="149" applyNumberFormat="1" applyFont="1" applyFill="1" applyAlignment="1">
      <alignment wrapText="1"/>
    </xf>
    <xf numFmtId="169" fontId="10" fillId="0" borderId="0" xfId="150" applyNumberFormat="1" applyFont="1" applyFill="1" applyAlignment="1"/>
    <xf numFmtId="0" fontId="54" fillId="0" borderId="0" xfId="149" applyFill="1" applyAlignment="1"/>
    <xf numFmtId="0" fontId="8" fillId="0" borderId="3" xfId="0" applyFont="1" applyFill="1" applyBorder="1" applyAlignment="1">
      <alignment horizontal="left" vertical="center" wrapText="1"/>
    </xf>
    <xf numFmtId="0" fontId="6" fillId="0" borderId="2" xfId="4"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23" applyFont="1" applyFill="1" applyBorder="1" applyAlignment="1">
      <alignment horizontal="justify" vertical="center" wrapText="1"/>
    </xf>
    <xf numFmtId="0" fontId="8" fillId="0" borderId="6" xfId="6" quotePrefix="1" applyFont="1" applyFill="1" applyBorder="1" applyAlignment="1">
      <alignment horizontal="justify" vertical="center" wrapText="1"/>
    </xf>
    <xf numFmtId="170" fontId="8" fillId="0" borderId="6" xfId="1"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8" fillId="0" borderId="3" xfId="0" applyFont="1" applyFill="1" applyBorder="1" applyAlignment="1">
      <alignment horizontal="left" vertical="center" wrapText="1"/>
    </xf>
    <xf numFmtId="3" fontId="4" fillId="0" borderId="3" xfId="5" applyNumberFormat="1" applyFont="1" applyFill="1" applyBorder="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168" fontId="8" fillId="0" borderId="0" xfId="2" applyNumberFormat="1" applyFont="1" applyFill="1" applyAlignment="1">
      <alignment horizontal="center" vertical="center" wrapText="1"/>
    </xf>
    <xf numFmtId="3" fontId="8" fillId="0" borderId="4" xfId="4" applyNumberFormat="1" applyFont="1" applyFill="1" applyBorder="1" applyAlignment="1">
      <alignment horizontal="center" vertical="center" wrapText="1"/>
    </xf>
    <xf numFmtId="3" fontId="8" fillId="0" borderId="5" xfId="4"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0" fontId="4" fillId="0" borderId="9" xfId="146" applyFont="1" applyFill="1" applyBorder="1" applyAlignment="1">
      <alignment horizontal="center" vertical="center" wrapText="1"/>
    </xf>
    <xf numFmtId="0" fontId="4" fillId="0" borderId="0" xfId="146" applyFont="1" applyFill="1" applyBorder="1" applyAlignment="1">
      <alignment horizontal="center" vertical="center" wrapText="1"/>
    </xf>
    <xf numFmtId="0" fontId="4" fillId="0" borderId="4" xfId="146" applyFont="1" applyFill="1" applyBorder="1" applyAlignment="1">
      <alignment horizontal="center" vertical="center" wrapText="1"/>
    </xf>
    <xf numFmtId="0" fontId="4" fillId="0" borderId="5" xfId="146" applyFont="1" applyFill="1" applyBorder="1" applyAlignment="1">
      <alignment horizontal="center" vertical="center" wrapText="1"/>
    </xf>
    <xf numFmtId="0" fontId="8" fillId="0" borderId="1" xfId="7" applyFont="1" applyFill="1" applyBorder="1" applyAlignment="1">
      <alignment horizontal="right" vertical="center"/>
    </xf>
    <xf numFmtId="0" fontId="6" fillId="0" borderId="10" xfId="132" applyFont="1" applyFill="1" applyBorder="1" applyAlignment="1">
      <alignment horizontal="center" vertical="center" wrapText="1"/>
    </xf>
    <xf numFmtId="0" fontId="6" fillId="0" borderId="11" xfId="132"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11" xfId="7" applyFont="1" applyFill="1" applyBorder="1" applyAlignment="1">
      <alignment horizontal="center" vertical="center"/>
    </xf>
    <xf numFmtId="3" fontId="5" fillId="0" borderId="0" xfId="7" applyNumberFormat="1" applyFont="1" applyFill="1" applyAlignment="1">
      <alignment horizontal="right" vertical="center"/>
    </xf>
    <xf numFmtId="0" fontId="8" fillId="0" borderId="0" xfId="7" applyFont="1" applyFill="1" applyBorder="1" applyAlignment="1">
      <alignment horizontal="center" vertical="center"/>
    </xf>
    <xf numFmtId="0" fontId="8" fillId="0" borderId="1" xfId="7" applyFont="1" applyFill="1" applyBorder="1" applyAlignment="1">
      <alignment horizontal="center" vertical="center"/>
    </xf>
    <xf numFmtId="0" fontId="37" fillId="2" borderId="3" xfId="7"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0" fontId="37" fillId="0" borderId="3" xfId="7" applyFont="1" applyFill="1" applyBorder="1" applyAlignment="1">
      <alignment horizontal="justify" vertical="center" wrapText="1"/>
    </xf>
    <xf numFmtId="0" fontId="6" fillId="0" borderId="3" xfId="7" applyFont="1" applyFill="1" applyBorder="1" applyAlignment="1">
      <alignment horizontal="center" vertical="center"/>
    </xf>
    <xf numFmtId="0" fontId="4" fillId="0" borderId="4"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5" xfId="7" applyFont="1" applyFill="1" applyBorder="1" applyAlignment="1">
      <alignment horizontal="center" vertical="center" wrapText="1"/>
    </xf>
    <xf numFmtId="9" fontId="4" fillId="0" borderId="0" xfId="7" applyNumberFormat="1" applyFont="1" applyFill="1" applyAlignment="1">
      <alignment horizontal="center" vertical="center" wrapText="1"/>
    </xf>
    <xf numFmtId="0" fontId="37" fillId="0" borderId="3" xfId="7" applyFont="1" applyFill="1" applyBorder="1" applyAlignment="1">
      <alignment horizontal="left" vertical="center" wrapText="1"/>
    </xf>
    <xf numFmtId="0" fontId="15" fillId="0" borderId="3" xfId="7" applyFont="1" applyFill="1" applyBorder="1" applyAlignment="1">
      <alignment horizontal="left" vertical="center" wrapText="1"/>
    </xf>
    <xf numFmtId="3" fontId="5"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8" fillId="0" borderId="0" xfId="7" applyFont="1" applyFill="1" applyBorder="1" applyAlignment="1">
      <alignment horizontal="center" vertical="center" wrapText="1"/>
    </xf>
    <xf numFmtId="0" fontId="8" fillId="0" borderId="1" xfId="7" applyFont="1" applyFill="1" applyBorder="1" applyAlignment="1">
      <alignment horizontal="center" vertical="center" wrapText="1"/>
    </xf>
    <xf numFmtId="0" fontId="37" fillId="0" borderId="8" xfId="7" applyFont="1" applyFill="1" applyBorder="1" applyAlignment="1">
      <alignment horizontal="left" vertical="center" wrapText="1"/>
    </xf>
    <xf numFmtId="3" fontId="4" fillId="0" borderId="9" xfId="7" applyNumberFormat="1" applyFont="1" applyFill="1" applyBorder="1" applyAlignment="1">
      <alignment horizontal="center" vertical="center" wrapText="1"/>
    </xf>
    <xf numFmtId="0" fontId="15" fillId="0" borderId="3" xfId="149" applyFont="1" applyFill="1" applyBorder="1" applyAlignment="1">
      <alignment horizontal="center"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3" fontId="8" fillId="0" borderId="1" xfId="149" applyNumberFormat="1" applyFont="1" applyFill="1" applyBorder="1" applyAlignment="1">
      <alignment horizontal="center" vertical="center" wrapText="1"/>
    </xf>
    <xf numFmtId="0" fontId="6" fillId="0" borderId="8" xfId="149" applyFont="1" applyFill="1" applyBorder="1" applyAlignment="1">
      <alignment horizontal="center" vertical="center" wrapText="1"/>
    </xf>
    <xf numFmtId="0" fontId="15" fillId="0" borderId="4" xfId="149" applyFont="1" applyFill="1" applyBorder="1" applyAlignment="1">
      <alignment horizontal="center" vertical="center" wrapText="1"/>
    </xf>
    <xf numFmtId="0" fontId="15" fillId="0" borderId="12" xfId="149" applyFont="1" applyFill="1" applyBorder="1" applyAlignment="1">
      <alignment horizontal="center" vertical="center" wrapText="1"/>
    </xf>
    <xf numFmtId="0" fontId="15" fillId="0" borderId="5" xfId="149" applyFont="1" applyFill="1" applyBorder="1" applyAlignment="1">
      <alignment horizontal="center" vertical="center" wrapText="1"/>
    </xf>
    <xf numFmtId="0" fontId="5" fillId="0" borderId="14" xfId="149" applyFont="1" applyFill="1" applyBorder="1" applyAlignment="1">
      <alignment horizontal="left" vertical="center" wrapText="1"/>
    </xf>
    <xf numFmtId="0" fontId="5" fillId="0" borderId="15" xfId="149" applyFont="1" applyFill="1" applyBorder="1" applyAlignment="1">
      <alignment horizontal="left" vertical="center" wrapText="1"/>
    </xf>
    <xf numFmtId="0" fontId="45" fillId="0" borderId="0" xfId="149" applyFont="1" applyFill="1" applyAlignment="1">
      <alignment horizontal="center"/>
    </xf>
    <xf numFmtId="3" fontId="57" fillId="0" borderId="0" xfId="149" applyNumberFormat="1" applyFont="1" applyFill="1" applyAlignment="1">
      <alignment horizontal="center"/>
    </xf>
    <xf numFmtId="0" fontId="6" fillId="0" borderId="0" xfId="149" applyFont="1" applyFill="1" applyAlignment="1">
      <alignment horizontal="center"/>
    </xf>
    <xf numFmtId="0" fontId="8" fillId="0" borderId="0" xfId="149" applyFont="1" applyFill="1" applyAlignment="1">
      <alignment horizontal="center"/>
    </xf>
    <xf numFmtId="0" fontId="54" fillId="0" borderId="1" xfId="149" applyFill="1" applyBorder="1" applyAlignment="1">
      <alignment horizontal="center" wrapText="1"/>
    </xf>
    <xf numFmtId="0" fontId="6" fillId="0" borderId="2" xfId="149" applyFont="1" applyFill="1" applyBorder="1" applyAlignment="1">
      <alignment horizontal="center" vertical="center" wrapText="1"/>
    </xf>
  </cellXfs>
  <cellStyles count="151">
    <cellStyle name="Comma" xfId="1" builtinId="3"/>
    <cellStyle name="Comma [0] 2" xfId="25"/>
    <cellStyle name="Comma 10" xfId="26"/>
    <cellStyle name="Comma 10 10" xfId="27"/>
    <cellStyle name="Comma 10 10 2" xfId="28"/>
    <cellStyle name="Comma 10 10 3 3" xfId="29"/>
    <cellStyle name="Comma 10 2" xfId="30"/>
    <cellStyle name="Comma 10 2 2" xfId="144"/>
    <cellStyle name="Comma 10 2 5" xfId="31"/>
    <cellStyle name="Comma 10 4" xfId="122"/>
    <cellStyle name="Comma 11" xfId="32"/>
    <cellStyle name="Comma 11 3" xfId="33"/>
    <cellStyle name="Comma 11 3 4" xfId="8"/>
    <cellStyle name="Comma 12" xfId="127"/>
    <cellStyle name="Comma 13" xfId="34"/>
    <cellStyle name="Comma 13 7" xfId="35"/>
    <cellStyle name="Comma 13 7 2" xfId="135"/>
    <cellStyle name="Comma 13 7 4" xfId="36"/>
    <cellStyle name="Comma 14" xfId="14"/>
    <cellStyle name="Comma 15" xfId="134"/>
    <cellStyle name="Comma 15 5" xfId="142"/>
    <cellStyle name="Comma 16" xfId="37"/>
    <cellStyle name="Comma 16 3" xfId="38"/>
    <cellStyle name="Comma 17" xfId="147"/>
    <cellStyle name="Comma 18" xfId="150"/>
    <cellStyle name="Comma 19" xfId="39"/>
    <cellStyle name="Comma 2" xfId="40"/>
    <cellStyle name="Comma 2 11" xfId="41"/>
    <cellStyle name="Comma 2 2" xfId="42"/>
    <cellStyle name="Comma 2 2 2" xfId="43"/>
    <cellStyle name="Comma 2 2 2 6" xfId="44"/>
    <cellStyle name="Comma 2 2 3" xfId="120"/>
    <cellStyle name="Comma 2 2 8" xfId="139"/>
    <cellStyle name="Comma 2 3" xfId="45"/>
    <cellStyle name="Comma 2 4" xfId="46"/>
    <cellStyle name="Comma 2 5" xfId="47"/>
    <cellStyle name="Comma 2 7 3" xfId="16"/>
    <cellStyle name="Comma 20" xfId="48"/>
    <cellStyle name="Comma 23" xfId="49"/>
    <cellStyle name="Comma 24" xfId="50"/>
    <cellStyle name="Comma 3" xfId="51"/>
    <cellStyle name="Comma 3 2" xfId="52"/>
    <cellStyle name="Comma 3 2 2" xfId="53"/>
    <cellStyle name="Comma 3 2 2 6" xfId="54"/>
    <cellStyle name="Comma 3 3" xfId="55"/>
    <cellStyle name="Comma 4" xfId="56"/>
    <cellStyle name="Comma 5" xfId="57"/>
    <cellStyle name="Comma 5 3" xfId="121"/>
    <cellStyle name="Comma 55" xfId="58"/>
    <cellStyle name="Comma 6" xfId="59"/>
    <cellStyle name="Comma 62" xfId="60"/>
    <cellStyle name="Comma 7" xfId="61"/>
    <cellStyle name="Comma 70" xfId="62"/>
    <cellStyle name="Comma 73" xfId="11"/>
    <cellStyle name="Comma 8" xfId="63"/>
    <cellStyle name="Comma 9" xfId="64"/>
    <cellStyle name="Ledger 17 x 11 in" xfId="65"/>
    <cellStyle name="Ledger 17 x 11 in 2" xfId="19"/>
    <cellStyle name="Normal" xfId="0" builtinId="0"/>
    <cellStyle name="Normal 10" xfId="7"/>
    <cellStyle name="Normal 10 2" xfId="66"/>
    <cellStyle name="Normal 10 2 24" xfId="67"/>
    <cellStyle name="Normal 10 3" xfId="68"/>
    <cellStyle name="Normal 10 3 2" xfId="69"/>
    <cellStyle name="Normal 10 3 3" xfId="70"/>
    <cellStyle name="Normal 107" xfId="71"/>
    <cellStyle name="Normal 108" xfId="131"/>
    <cellStyle name="Normal 11" xfId="18"/>
    <cellStyle name="Normal 11 2" xfId="72"/>
    <cellStyle name="Normal 11 3" xfId="73"/>
    <cellStyle name="Normal 12" xfId="74"/>
    <cellStyle name="Normal 12 2 2" xfId="75"/>
    <cellStyle name="Normal 12 3" xfId="20"/>
    <cellStyle name="Normal 13" xfId="22"/>
    <cellStyle name="Normal 13 3" xfId="12"/>
    <cellStyle name="Normal 13 4" xfId="128"/>
    <cellStyle name="Normal 13 4 2" xfId="138"/>
    <cellStyle name="Normal 14" xfId="76"/>
    <cellStyle name="Normal 15" xfId="77"/>
    <cellStyle name="Normal 15 2" xfId="78"/>
    <cellStyle name="Normal 16" xfId="79"/>
    <cellStyle name="Normal 16 2" xfId="143"/>
    <cellStyle name="Normal 17" xfId="146"/>
    <cellStyle name="Normal 18" xfId="149"/>
    <cellStyle name="Normal 187" xfId="80"/>
    <cellStyle name="Normal 19" xfId="81"/>
    <cellStyle name="Normal 19 2" xfId="130"/>
    <cellStyle name="Normal 2" xfId="82"/>
    <cellStyle name="Normal 2 11" xfId="10"/>
    <cellStyle name="Normal 2 2" xfId="4"/>
    <cellStyle name="Normal 2 2 2" xfId="83"/>
    <cellStyle name="Normal 2 2 2 2" xfId="84"/>
    <cellStyle name="Normal 2 2 2 3" xfId="85"/>
    <cellStyle name="Normal 2 2 3" xfId="86"/>
    <cellStyle name="Normal 2 2 3 3" xfId="87"/>
    <cellStyle name="Normal 2 2 3 4" xfId="15"/>
    <cellStyle name="Normal 2 2 4" xfId="13"/>
    <cellStyle name="Normal 2 2 4 2" xfId="132"/>
    <cellStyle name="Normal 2 3" xfId="88"/>
    <cellStyle name="Normal 2 4" xfId="89"/>
    <cellStyle name="Normal 2 5" xfId="90"/>
    <cellStyle name="Normal 2 5 2" xfId="6"/>
    <cellStyle name="Normal 2 5 2 2" xfId="148"/>
    <cellStyle name="Normal 2_Book1" xfId="91"/>
    <cellStyle name="Normal 20" xfId="92"/>
    <cellStyle name="Normal 22" xfId="133"/>
    <cellStyle name="Normal 23" xfId="141"/>
    <cellStyle name="Normal 27 2" xfId="17"/>
    <cellStyle name="Normal 28 2" xfId="21"/>
    <cellStyle name="Normal 3" xfId="93"/>
    <cellStyle name="Normal 3 11" xfId="94"/>
    <cellStyle name="Normal 3 2" xfId="95"/>
    <cellStyle name="Normal 3 2 2" xfId="96"/>
    <cellStyle name="Normal 3 2 3" xfId="97"/>
    <cellStyle name="Normal 3 2 3 2" xfId="98"/>
    <cellStyle name="Normal 3 2 3 3" xfId="136"/>
    <cellStyle name="Normal 4" xfId="99"/>
    <cellStyle name="Normal 4 2" xfId="100"/>
    <cellStyle name="Normal 4 2 2" xfId="101"/>
    <cellStyle name="Normal 4 2 3" xfId="137"/>
    <cellStyle name="Normal 4 3 3" xfId="140"/>
    <cellStyle name="Normal 5" xfId="9"/>
    <cellStyle name="Normal 5 2" xfId="102"/>
    <cellStyle name="Normal 5 3" xfId="103"/>
    <cellStyle name="Normal 52 2" xfId="104"/>
    <cellStyle name="Normal 53" xfId="124"/>
    <cellStyle name="Normal 54" xfId="125"/>
    <cellStyle name="Normal 56" xfId="105"/>
    <cellStyle name="Normal 6" xfId="106"/>
    <cellStyle name="Normal 61" xfId="123"/>
    <cellStyle name="Normal 64" xfId="126"/>
    <cellStyle name="Normal 7" xfId="24"/>
    <cellStyle name="Normal 7 3" xfId="107"/>
    <cellStyle name="Normal 8" xfId="108"/>
    <cellStyle name="Normal 8 3" xfId="109"/>
    <cellStyle name="Normal 87" xfId="110"/>
    <cellStyle name="Normal 87 2" xfId="129"/>
    <cellStyle name="Normal 89" xfId="111"/>
    <cellStyle name="Normal 9" xfId="23"/>
    <cellStyle name="Normal 9 2" xfId="112"/>
    <cellStyle name="Normal_nhan su da nang 2" xfId="5"/>
    <cellStyle name="Normal_Sheet7" xfId="3"/>
    <cellStyle name="Percent" xfId="145" builtinId="5"/>
    <cellStyle name="Percent 2" xfId="113"/>
    <cellStyle name="Percent 2 2" xfId="114"/>
    <cellStyle name="Percent 3" xfId="115"/>
    <cellStyle name="Percent 4" xfId="118"/>
    <cellStyle name="Percent 5" xfId="119"/>
    <cellStyle name="Style 1" xfId="116"/>
    <cellStyle name="Style 1 5" xfId="117"/>
    <cellStyle name="Style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PKTNN\Downloads\2.%20PL%20BCKT%20Quang%20Nam-%2020-8%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8.%20BC%20thuc%20hien%20KL%20KTNN%202017_31.03.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C_NS/N&#259;m%202018/Luu%20tru/KTNN/BC%202017/PL%20Quang%20Nam%20trinh%20phat%20hanh%2026.11%20(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7.%20BC%20thuc%20hien%20KL%20KTNN%202016_31.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6.%20BC%20thuc%20hien%20KL%20KTNN%202015_31.03.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4.%20Phu%20luc%20BC%20thuc%20hien%20KL%20KTNN%202013_31.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01"/>
      <sheetName val="pl 07"/>
      <sheetName val="PL 07a"/>
      <sheetName val="PL 07b"/>
      <sheetName val="PL09"/>
      <sheetName val="PL 09a"/>
      <sheetName val="PL10"/>
    </sheetNames>
    <sheetDataSet>
      <sheetData sheetId="0" refreshError="1"/>
      <sheetData sheetId="1" refreshError="1"/>
      <sheetData sheetId="2" refreshError="1"/>
      <sheetData sheetId="3" refreshError="1"/>
      <sheetData sheetId="4" refreshError="1"/>
      <sheetData sheetId="5" refreshError="1">
        <row r="70">
          <cell r="C70">
            <v>410071000</v>
          </cell>
        </row>
        <row r="84">
          <cell r="B84" t="str">
            <v>Ban QLDA đầu tư xây dựng tỉnh Quảng Nam</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7(31.12)"/>
      <sheetName val="KQ_PL03_KN khác (31.3)"/>
      <sheetName val="PL04 (124 tỷ TU)"/>
      <sheetName val="KQ_PB03.1 QLĐH"/>
      <sheetName val="KQ_PB02.4 QLDH"/>
      <sheetName val="KP_PB02.3"/>
      <sheetName val="KQ_PB02.2"/>
      <sheetName val="KQ_PL01 (31.3,20)"/>
      <sheetName val="PL01_Tăng thu"/>
      <sheetName val="KQ_PL02 (30.6)"/>
      <sheetName val="KQ_PL01 (31.3)"/>
      <sheetName val="PL02_Thu hồi, giảm chi"/>
      <sheetName val="PB02.1 SGDDT"/>
      <sheetName val="KQ_PB02.1"/>
      <sheetName val="PB02.2"/>
      <sheetName val="PB02.3"/>
      <sheetName val="PB02.4"/>
      <sheetName val="PL03_KN khác"/>
      <sheetName val="PB03.1"/>
      <sheetName val="KQ_PL04 (31.3)"/>
    </sheetNames>
    <sheetDataSet>
      <sheetData sheetId="0"/>
      <sheetData sheetId="1"/>
      <sheetData sheetId="2" refreshError="1"/>
      <sheetData sheetId="3">
        <row r="7">
          <cell r="F7">
            <v>29406.525244000004</v>
          </cell>
        </row>
      </sheetData>
      <sheetData sheetId="4">
        <row r="6">
          <cell r="L6">
            <v>917.28639199999884</v>
          </cell>
        </row>
      </sheetData>
      <sheetData sheetId="5">
        <row r="14">
          <cell r="F14">
            <v>834905949</v>
          </cell>
        </row>
        <row r="18">
          <cell r="F18">
            <v>315726000</v>
          </cell>
        </row>
        <row r="22">
          <cell r="F22">
            <v>252445625</v>
          </cell>
        </row>
        <row r="27">
          <cell r="F27">
            <v>2488879000</v>
          </cell>
        </row>
        <row r="29">
          <cell r="F29">
            <v>191467000</v>
          </cell>
        </row>
        <row r="31">
          <cell r="F31">
            <v>866983000</v>
          </cell>
        </row>
        <row r="34">
          <cell r="F34">
            <v>9747357841.9916077</v>
          </cell>
        </row>
        <row r="47">
          <cell r="F47">
            <v>5214877252.6396589</v>
          </cell>
        </row>
        <row r="50">
          <cell r="F50">
            <v>606814260.98000002</v>
          </cell>
        </row>
        <row r="64">
          <cell r="F64">
            <v>205191000</v>
          </cell>
        </row>
      </sheetData>
      <sheetData sheetId="6">
        <row r="153">
          <cell r="E153">
            <v>945540000</v>
          </cell>
        </row>
        <row r="156">
          <cell r="E156">
            <v>802549347.43772149</v>
          </cell>
        </row>
        <row r="174">
          <cell r="E174">
            <v>262266989.60603416</v>
          </cell>
        </row>
        <row r="184">
          <cell r="E184">
            <v>1171595573.7711985</v>
          </cell>
        </row>
        <row r="493">
          <cell r="E493">
            <v>0</v>
          </cell>
        </row>
        <row r="718">
          <cell r="E718">
            <v>0</v>
          </cell>
        </row>
      </sheetData>
      <sheetData sheetId="7">
        <row r="54">
          <cell r="E54">
            <v>692542169.76229417</v>
          </cell>
          <cell r="F54">
            <v>5435235500.4799995</v>
          </cell>
          <cell r="G54">
            <v>12851740007</v>
          </cell>
          <cell r="I54">
            <v>8510000</v>
          </cell>
          <cell r="K54">
            <v>677382665</v>
          </cell>
          <cell r="L54">
            <v>23679440</v>
          </cell>
          <cell r="N54">
            <v>422862199</v>
          </cell>
          <cell r="O54">
            <v>179652726</v>
          </cell>
          <cell r="R54">
            <v>692542169.76229417</v>
          </cell>
          <cell r="S54">
            <v>5435235500.4799995</v>
          </cell>
          <cell r="T54">
            <v>12851740007</v>
          </cell>
          <cell r="V54">
            <v>8510000</v>
          </cell>
          <cell r="X54">
            <v>674496665</v>
          </cell>
          <cell r="Y54">
            <v>23679440</v>
          </cell>
          <cell r="AA54">
            <v>422862199</v>
          </cell>
          <cell r="AB54">
            <v>179652726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1DC"/>
      <sheetName val="02"/>
      <sheetName val="03"/>
      <sheetName val="04"/>
      <sheetName val="05"/>
      <sheetName val="06"/>
      <sheetName val="07"/>
      <sheetName val="07a"/>
      <sheetName val="07b"/>
      <sheetName val="07c"/>
      <sheetName val="08"/>
      <sheetName val="08a"/>
      <sheetName val="8b"/>
      <sheetName val="09"/>
      <sheetName val="09a"/>
      <sheetName val="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
          <cell r="D6">
            <v>478750001</v>
          </cell>
          <cell r="E6" t="str">
            <v>Giảm lỗ do: Chi phí lãi vay chưa vốn hóa trong quá trình XDCB Hợp đồng vay số 57/2407.14 /LTL/6288982 ngày 24/7/2014</v>
          </cell>
        </row>
      </sheetData>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kien nghi 2016 den 31.12.20"/>
      <sheetName val="Kien nghị khac 05"/>
      <sheetName val="TH kien nghi 2016 den 31.12.18"/>
      <sheetName val="TH kien nghi 2016 den 31.3.19"/>
      <sheetName val="KTNN 2016"/>
      <sheetName val="Tăng thu NSNN 02"/>
      <sheetName val="KH von con lai khoi tinh 03 "/>
      <sheetName val="thuc hien PL 04"/>
      <sheetName val="KH von con lai khoi huyen 04"/>
      <sheetName val="Giảm cấp phát CCTL, BSMT"/>
      <sheetName val="STC nop tra NS TW"/>
    </sheetNames>
    <sheetDataSet>
      <sheetData sheetId="0"/>
      <sheetData sheetId="1">
        <row r="9">
          <cell r="C9">
            <v>143867000000</v>
          </cell>
          <cell r="F9">
            <v>143867000000</v>
          </cell>
        </row>
        <row r="16">
          <cell r="C16">
            <v>374500000000</v>
          </cell>
          <cell r="F16">
            <v>374500000000</v>
          </cell>
        </row>
        <row r="29">
          <cell r="C29">
            <v>7434000000</v>
          </cell>
          <cell r="F29">
            <v>4158500000</v>
          </cell>
        </row>
        <row r="30">
          <cell r="C30">
            <v>22281923936</v>
          </cell>
          <cell r="F30">
            <v>21221859826</v>
          </cell>
        </row>
        <row r="111">
          <cell r="F111">
            <v>3888853661</v>
          </cell>
        </row>
        <row r="114">
          <cell r="F114">
            <v>14000000000</v>
          </cell>
        </row>
        <row r="115">
          <cell r="F115">
            <v>1110000000</v>
          </cell>
        </row>
        <row r="116">
          <cell r="F116">
            <v>8531199000</v>
          </cell>
        </row>
        <row r="117">
          <cell r="F117">
            <v>2360000000</v>
          </cell>
        </row>
        <row r="118">
          <cell r="F118">
            <v>46331517621</v>
          </cell>
        </row>
        <row r="122">
          <cell r="F122">
            <v>2398621000</v>
          </cell>
        </row>
        <row r="124">
          <cell r="C124">
            <v>6625888321.0000067</v>
          </cell>
          <cell r="F124">
            <v>3834166369.0000052</v>
          </cell>
        </row>
        <row r="134">
          <cell r="C134">
            <v>1762115356</v>
          </cell>
          <cell r="F134">
            <v>1762115356</v>
          </cell>
        </row>
        <row r="152">
          <cell r="C152">
            <v>585380000</v>
          </cell>
          <cell r="F152">
            <v>585380000</v>
          </cell>
        </row>
      </sheetData>
      <sheetData sheetId="2" refreshError="1"/>
      <sheetData sheetId="3" refreshError="1"/>
      <sheetData sheetId="4" refreshError="1"/>
      <sheetData sheetId="5">
        <row r="54">
          <cell r="F54">
            <v>1773074472</v>
          </cell>
          <cell r="G54">
            <v>23750252609</v>
          </cell>
          <cell r="H54">
            <v>114181509</v>
          </cell>
          <cell r="I54">
            <v>128515766</v>
          </cell>
          <cell r="J54">
            <v>9912849323</v>
          </cell>
          <cell r="K54">
            <v>13802607</v>
          </cell>
          <cell r="L54">
            <v>1480290800</v>
          </cell>
          <cell r="M54">
            <v>48182818</v>
          </cell>
          <cell r="O54">
            <v>1885931839</v>
          </cell>
          <cell r="P54">
            <v>29351015813.200001</v>
          </cell>
          <cell r="T54">
            <v>114181509</v>
          </cell>
          <cell r="U54">
            <v>128515766</v>
          </cell>
          <cell r="W54">
            <v>9912849323</v>
          </cell>
          <cell r="X54">
            <v>13802607</v>
          </cell>
          <cell r="Y54">
            <v>2518721800</v>
          </cell>
          <cell r="AB54">
            <v>48182818</v>
          </cell>
        </row>
      </sheetData>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5 den 31-03-21"/>
      <sheetName val="KTNN 2015 den 30-9-18"/>
      <sheetName val="KTNN 2015 den 31-12-18"/>
      <sheetName val="KTNN 2015 den 31-3-19"/>
      <sheetName val="KTNN 2015 den 31-3-17"/>
      <sheetName val="Tăng thu NSNN"/>
    </sheetNames>
    <sheetDataSet>
      <sheetData sheetId="0"/>
      <sheetData sheetId="1" refreshError="1"/>
      <sheetData sheetId="2" refreshError="1"/>
      <sheetData sheetId="3" refreshError="1"/>
      <sheetData sheetId="4" refreshError="1"/>
      <sheetData sheetId="5">
        <row r="51">
          <cell r="G51">
            <v>448892020</v>
          </cell>
          <cell r="H51">
            <v>5058311054</v>
          </cell>
          <cell r="I51">
            <v>6633746835</v>
          </cell>
          <cell r="J51">
            <v>55760000</v>
          </cell>
          <cell r="K51">
            <v>28485421183</v>
          </cell>
          <cell r="L51">
            <v>170510769</v>
          </cell>
          <cell r="N51">
            <v>448892020</v>
          </cell>
          <cell r="O51">
            <v>5058311054</v>
          </cell>
          <cell r="P51">
            <v>6633746835</v>
          </cell>
          <cell r="Q51">
            <v>55760000</v>
          </cell>
          <cell r="R51">
            <v>28485421183</v>
          </cell>
          <cell r="S51">
            <v>170510769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31 03 2020"/>
      <sheetName val="Tổng hợp 30 09 2018"/>
      <sheetName val="Tổng hợp 31 12 2018"/>
      <sheetName val="Tổng hợp 31 3 2019"/>
      <sheetName val="Tổng hợp 31-3-2017 (c.Van)"/>
      <sheetName val="Tổng hợp 31-3-2017"/>
      <sheetName val="Cuc Thue_Tăng thu"/>
      <sheetName val="Tổng hợp 30-9-2016(sau phuc tra"/>
      <sheetName val="STC_thu hoi TU 2010 ve truoc"/>
      <sheetName val="Tổng hợp 30092015"/>
      <sheetName val="STC-ton ngan"/>
      <sheetName val="STC_tam ung"/>
    </sheetNames>
    <sheetDataSet>
      <sheetData sheetId="0"/>
      <sheetData sheetId="1" refreshError="1"/>
      <sheetData sheetId="2" refreshError="1"/>
      <sheetData sheetId="3" refreshError="1"/>
      <sheetData sheetId="4" refreshError="1"/>
      <sheetData sheetId="5" refreshError="1"/>
      <sheetData sheetId="6">
        <row r="53">
          <cell r="F53">
            <v>1312693064.7090909</v>
          </cell>
          <cell r="G53">
            <v>1312693065</v>
          </cell>
          <cell r="I53">
            <v>27729976911.451263</v>
          </cell>
          <cell r="J53">
            <v>3912010046.4762664</v>
          </cell>
          <cell r="L53">
            <v>1171602332</v>
          </cell>
          <cell r="M53">
            <v>1171602332</v>
          </cell>
          <cell r="O53">
            <v>33737800</v>
          </cell>
          <cell r="P53">
            <v>33737800</v>
          </cell>
          <cell r="R53">
            <v>1734838683</v>
          </cell>
          <cell r="S53">
            <v>1734838683</v>
          </cell>
          <cell r="U53">
            <v>7768011682</v>
          </cell>
          <cell r="V53">
            <v>7768011682</v>
          </cell>
        </row>
      </sheetData>
      <sheetData sheetId="7" refreshError="1"/>
      <sheetData sheetId="8" refreshError="1"/>
      <sheetData sheetId="9" refreshError="1"/>
      <sheetData sheetId="10">
        <row r="7">
          <cell r="AA7">
            <v>56835909051</v>
          </cell>
        </row>
      </sheetData>
      <sheetData sheetId="11">
        <row r="8">
          <cell r="K8">
            <v>27715083079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18"/>
  <sheetViews>
    <sheetView zoomScale="68" zoomScaleNormal="68" workbookViewId="0">
      <pane xSplit="3" ySplit="5" topLeftCell="D86" activePane="bottomRight" state="frozen"/>
      <selection activeCell="I65" sqref="I65"/>
      <selection pane="topRight" activeCell="I65" sqref="I65"/>
      <selection pane="bottomLeft" activeCell="I65" sqref="I65"/>
      <selection pane="bottomRight" activeCell="F7" sqref="F7"/>
    </sheetView>
  </sheetViews>
  <sheetFormatPr defaultRowHeight="15.75"/>
  <cols>
    <col min="1" max="1" width="6" style="3" bestFit="1" customWidth="1"/>
    <col min="2" max="2" width="33.85546875" style="18" customWidth="1"/>
    <col min="3" max="3" width="55.28515625" style="18" customWidth="1"/>
    <col min="4" max="4" width="19.140625" style="19" customWidth="1"/>
    <col min="5" max="5" width="18.42578125" style="19" customWidth="1"/>
    <col min="6" max="6" width="17.42578125" style="19" customWidth="1"/>
    <col min="7" max="7" width="8.85546875" style="19" customWidth="1"/>
    <col min="8" max="8" width="15.85546875" style="3" bestFit="1" customWidth="1"/>
    <col min="9" max="9" width="19.7109375" style="3" customWidth="1"/>
    <col min="10" max="10" width="9" style="258"/>
    <col min="11" max="259" width="9" style="3"/>
    <col min="260" max="260" width="6" style="3" bestFit="1" customWidth="1"/>
    <col min="261" max="261" width="31.7109375" style="3" customWidth="1"/>
    <col min="262" max="262" width="17.85546875" style="3" bestFit="1" customWidth="1"/>
    <col min="263" max="263" width="65" style="3" customWidth="1"/>
    <col min="264" max="264" width="15.85546875" style="3" bestFit="1" customWidth="1"/>
    <col min="265" max="265" width="17.140625" style="3" customWidth="1"/>
    <col min="266" max="515" width="9" style="3"/>
    <col min="516" max="516" width="6" style="3" bestFit="1" customWidth="1"/>
    <col min="517" max="517" width="31.7109375" style="3" customWidth="1"/>
    <col min="518" max="518" width="17.85546875" style="3" bestFit="1" customWidth="1"/>
    <col min="519" max="519" width="65" style="3" customWidth="1"/>
    <col min="520" max="520" width="15.85546875" style="3" bestFit="1" customWidth="1"/>
    <col min="521" max="521" width="17.140625" style="3" customWidth="1"/>
    <col min="522" max="771" width="9" style="3"/>
    <col min="772" max="772" width="6" style="3" bestFit="1" customWidth="1"/>
    <col min="773" max="773" width="31.7109375" style="3" customWidth="1"/>
    <col min="774" max="774" width="17.85546875" style="3" bestFit="1" customWidth="1"/>
    <col min="775" max="775" width="65" style="3" customWidth="1"/>
    <col min="776" max="776" width="15.85546875" style="3" bestFit="1" customWidth="1"/>
    <col min="777" max="777" width="17.140625" style="3" customWidth="1"/>
    <col min="778" max="1024" width="9.140625" style="3"/>
    <col min="1025" max="1027" width="9" style="3"/>
    <col min="1028" max="1028" width="6" style="3" bestFit="1" customWidth="1"/>
    <col min="1029" max="1029" width="31.7109375" style="3" customWidth="1"/>
    <col min="1030" max="1030" width="17.85546875" style="3" bestFit="1" customWidth="1"/>
    <col min="1031" max="1031" width="65" style="3" customWidth="1"/>
    <col min="1032" max="1032" width="15.85546875" style="3" bestFit="1" customWidth="1"/>
    <col min="1033" max="1033" width="17.140625" style="3" customWidth="1"/>
    <col min="1034" max="1283" width="9" style="3"/>
    <col min="1284" max="1284" width="6" style="3" bestFit="1" customWidth="1"/>
    <col min="1285" max="1285" width="31.7109375" style="3" customWidth="1"/>
    <col min="1286" max="1286" width="17.85546875" style="3" bestFit="1" customWidth="1"/>
    <col min="1287" max="1287" width="65" style="3" customWidth="1"/>
    <col min="1288" max="1288" width="15.85546875" style="3" bestFit="1" customWidth="1"/>
    <col min="1289" max="1289" width="17.140625" style="3" customWidth="1"/>
    <col min="1290" max="1539" width="9" style="3"/>
    <col min="1540" max="1540" width="6" style="3" bestFit="1" customWidth="1"/>
    <col min="1541" max="1541" width="31.7109375" style="3" customWidth="1"/>
    <col min="1542" max="1542" width="17.85546875" style="3" bestFit="1" customWidth="1"/>
    <col min="1543" max="1543" width="65" style="3" customWidth="1"/>
    <col min="1544" max="1544" width="15.85546875" style="3" bestFit="1" customWidth="1"/>
    <col min="1545" max="1545" width="17.140625" style="3" customWidth="1"/>
    <col min="1546" max="1795" width="9" style="3"/>
    <col min="1796" max="1796" width="6" style="3" bestFit="1" customWidth="1"/>
    <col min="1797" max="1797" width="31.7109375" style="3" customWidth="1"/>
    <col min="1798" max="1798" width="17.85546875" style="3" bestFit="1" customWidth="1"/>
    <col min="1799" max="1799" width="65" style="3" customWidth="1"/>
    <col min="1800" max="1800" width="15.85546875" style="3" bestFit="1" customWidth="1"/>
    <col min="1801" max="1801" width="17.140625" style="3" customWidth="1"/>
    <col min="1802" max="2048" width="9.140625" style="3"/>
    <col min="2049" max="2051" width="9" style="3"/>
    <col min="2052" max="2052" width="6" style="3" bestFit="1" customWidth="1"/>
    <col min="2053" max="2053" width="31.7109375" style="3" customWidth="1"/>
    <col min="2054" max="2054" width="17.85546875" style="3" bestFit="1" customWidth="1"/>
    <col min="2055" max="2055" width="65" style="3" customWidth="1"/>
    <col min="2056" max="2056" width="15.85546875" style="3" bestFit="1" customWidth="1"/>
    <col min="2057" max="2057" width="17.140625" style="3" customWidth="1"/>
    <col min="2058" max="2307" width="9" style="3"/>
    <col min="2308" max="2308" width="6" style="3" bestFit="1" customWidth="1"/>
    <col min="2309" max="2309" width="31.7109375" style="3" customWidth="1"/>
    <col min="2310" max="2310" width="17.85546875" style="3" bestFit="1" customWidth="1"/>
    <col min="2311" max="2311" width="65" style="3" customWidth="1"/>
    <col min="2312" max="2312" width="15.85546875" style="3" bestFit="1" customWidth="1"/>
    <col min="2313" max="2313" width="17.140625" style="3" customWidth="1"/>
    <col min="2314" max="2563" width="9" style="3"/>
    <col min="2564" max="2564" width="6" style="3" bestFit="1" customWidth="1"/>
    <col min="2565" max="2565" width="31.7109375" style="3" customWidth="1"/>
    <col min="2566" max="2566" width="17.85546875" style="3" bestFit="1" customWidth="1"/>
    <col min="2567" max="2567" width="65" style="3" customWidth="1"/>
    <col min="2568" max="2568" width="15.85546875" style="3" bestFit="1" customWidth="1"/>
    <col min="2569" max="2569" width="17.140625" style="3" customWidth="1"/>
    <col min="2570" max="2819" width="9" style="3"/>
    <col min="2820" max="2820" width="6" style="3" bestFit="1" customWidth="1"/>
    <col min="2821" max="2821" width="31.7109375" style="3" customWidth="1"/>
    <col min="2822" max="2822" width="17.85546875" style="3" bestFit="1" customWidth="1"/>
    <col min="2823" max="2823" width="65" style="3" customWidth="1"/>
    <col min="2824" max="2824" width="15.85546875" style="3" bestFit="1" customWidth="1"/>
    <col min="2825" max="2825" width="17.140625" style="3" customWidth="1"/>
    <col min="2826" max="3072" width="9.140625" style="3"/>
    <col min="3073" max="3075" width="9" style="3"/>
    <col min="3076" max="3076" width="6" style="3" bestFit="1" customWidth="1"/>
    <col min="3077" max="3077" width="31.7109375" style="3" customWidth="1"/>
    <col min="3078" max="3078" width="17.85546875" style="3" bestFit="1" customWidth="1"/>
    <col min="3079" max="3079" width="65" style="3" customWidth="1"/>
    <col min="3080" max="3080" width="15.85546875" style="3" bestFit="1" customWidth="1"/>
    <col min="3081" max="3081" width="17.140625" style="3" customWidth="1"/>
    <col min="3082" max="3331" width="9" style="3"/>
    <col min="3332" max="3332" width="6" style="3" bestFit="1" customWidth="1"/>
    <col min="3333" max="3333" width="31.7109375" style="3" customWidth="1"/>
    <col min="3334" max="3334" width="17.85546875" style="3" bestFit="1" customWidth="1"/>
    <col min="3335" max="3335" width="65" style="3" customWidth="1"/>
    <col min="3336" max="3336" width="15.85546875" style="3" bestFit="1" customWidth="1"/>
    <col min="3337" max="3337" width="17.140625" style="3" customWidth="1"/>
    <col min="3338" max="3587" width="9" style="3"/>
    <col min="3588" max="3588" width="6" style="3" bestFit="1" customWidth="1"/>
    <col min="3589" max="3589" width="31.7109375" style="3" customWidth="1"/>
    <col min="3590" max="3590" width="17.85546875" style="3" bestFit="1" customWidth="1"/>
    <col min="3591" max="3591" width="65" style="3" customWidth="1"/>
    <col min="3592" max="3592" width="15.85546875" style="3" bestFit="1" customWidth="1"/>
    <col min="3593" max="3593" width="17.140625" style="3" customWidth="1"/>
    <col min="3594" max="3843" width="9" style="3"/>
    <col min="3844" max="3844" width="6" style="3" bestFit="1" customWidth="1"/>
    <col min="3845" max="3845" width="31.7109375" style="3" customWidth="1"/>
    <col min="3846" max="3846" width="17.85546875" style="3" bestFit="1" customWidth="1"/>
    <col min="3847" max="3847" width="65" style="3" customWidth="1"/>
    <col min="3848" max="3848" width="15.85546875" style="3" bestFit="1" customWidth="1"/>
    <col min="3849" max="3849" width="17.140625" style="3" customWidth="1"/>
    <col min="3850" max="4096" width="9.140625" style="3"/>
    <col min="4097" max="4099" width="9" style="3"/>
    <col min="4100" max="4100" width="6" style="3" bestFit="1" customWidth="1"/>
    <col min="4101" max="4101" width="31.7109375" style="3" customWidth="1"/>
    <col min="4102" max="4102" width="17.85546875" style="3" bestFit="1" customWidth="1"/>
    <col min="4103" max="4103" width="65" style="3" customWidth="1"/>
    <col min="4104" max="4104" width="15.85546875" style="3" bestFit="1" customWidth="1"/>
    <col min="4105" max="4105" width="17.140625" style="3" customWidth="1"/>
    <col min="4106" max="4355" width="9" style="3"/>
    <col min="4356" max="4356" width="6" style="3" bestFit="1" customWidth="1"/>
    <col min="4357" max="4357" width="31.7109375" style="3" customWidth="1"/>
    <col min="4358" max="4358" width="17.85546875" style="3" bestFit="1" customWidth="1"/>
    <col min="4359" max="4359" width="65" style="3" customWidth="1"/>
    <col min="4360" max="4360" width="15.85546875" style="3" bestFit="1" customWidth="1"/>
    <col min="4361" max="4361" width="17.140625" style="3" customWidth="1"/>
    <col min="4362" max="4611" width="9" style="3"/>
    <col min="4612" max="4612" width="6" style="3" bestFit="1" customWidth="1"/>
    <col min="4613" max="4613" width="31.7109375" style="3" customWidth="1"/>
    <col min="4614" max="4614" width="17.85546875" style="3" bestFit="1" customWidth="1"/>
    <col min="4615" max="4615" width="65" style="3" customWidth="1"/>
    <col min="4616" max="4616" width="15.85546875" style="3" bestFit="1" customWidth="1"/>
    <col min="4617" max="4617" width="17.140625" style="3" customWidth="1"/>
    <col min="4618" max="4867" width="9" style="3"/>
    <col min="4868" max="4868" width="6" style="3" bestFit="1" customWidth="1"/>
    <col min="4869" max="4869" width="31.7109375" style="3" customWidth="1"/>
    <col min="4870" max="4870" width="17.85546875" style="3" bestFit="1" customWidth="1"/>
    <col min="4871" max="4871" width="65" style="3" customWidth="1"/>
    <col min="4872" max="4872" width="15.85546875" style="3" bestFit="1" customWidth="1"/>
    <col min="4873" max="4873" width="17.140625" style="3" customWidth="1"/>
    <col min="4874" max="5120" width="9.140625" style="3"/>
    <col min="5121" max="5123" width="9" style="3"/>
    <col min="5124" max="5124" width="6" style="3" bestFit="1" customWidth="1"/>
    <col min="5125" max="5125" width="31.7109375" style="3" customWidth="1"/>
    <col min="5126" max="5126" width="17.85546875" style="3" bestFit="1" customWidth="1"/>
    <col min="5127" max="5127" width="65" style="3" customWidth="1"/>
    <col min="5128" max="5128" width="15.85546875" style="3" bestFit="1" customWidth="1"/>
    <col min="5129" max="5129" width="17.140625" style="3" customWidth="1"/>
    <col min="5130" max="5379" width="9" style="3"/>
    <col min="5380" max="5380" width="6" style="3" bestFit="1" customWidth="1"/>
    <col min="5381" max="5381" width="31.7109375" style="3" customWidth="1"/>
    <col min="5382" max="5382" width="17.85546875" style="3" bestFit="1" customWidth="1"/>
    <col min="5383" max="5383" width="65" style="3" customWidth="1"/>
    <col min="5384" max="5384" width="15.85546875" style="3" bestFit="1" customWidth="1"/>
    <col min="5385" max="5385" width="17.140625" style="3" customWidth="1"/>
    <col min="5386" max="5635" width="9" style="3"/>
    <col min="5636" max="5636" width="6" style="3" bestFit="1" customWidth="1"/>
    <col min="5637" max="5637" width="31.7109375" style="3" customWidth="1"/>
    <col min="5638" max="5638" width="17.85546875" style="3" bestFit="1" customWidth="1"/>
    <col min="5639" max="5639" width="65" style="3" customWidth="1"/>
    <col min="5640" max="5640" width="15.85546875" style="3" bestFit="1" customWidth="1"/>
    <col min="5641" max="5641" width="17.140625" style="3" customWidth="1"/>
    <col min="5642" max="5891" width="9" style="3"/>
    <col min="5892" max="5892" width="6" style="3" bestFit="1" customWidth="1"/>
    <col min="5893" max="5893" width="31.7109375" style="3" customWidth="1"/>
    <col min="5894" max="5894" width="17.85546875" style="3" bestFit="1" customWidth="1"/>
    <col min="5895" max="5895" width="65" style="3" customWidth="1"/>
    <col min="5896" max="5896" width="15.85546875" style="3" bestFit="1" customWidth="1"/>
    <col min="5897" max="5897" width="17.140625" style="3" customWidth="1"/>
    <col min="5898" max="6144" width="9.140625" style="3"/>
    <col min="6145" max="6147" width="9" style="3"/>
    <col min="6148" max="6148" width="6" style="3" bestFit="1" customWidth="1"/>
    <col min="6149" max="6149" width="31.7109375" style="3" customWidth="1"/>
    <col min="6150" max="6150" width="17.85546875" style="3" bestFit="1" customWidth="1"/>
    <col min="6151" max="6151" width="65" style="3" customWidth="1"/>
    <col min="6152" max="6152" width="15.85546875" style="3" bestFit="1" customWidth="1"/>
    <col min="6153" max="6153" width="17.140625" style="3" customWidth="1"/>
    <col min="6154" max="6403" width="9" style="3"/>
    <col min="6404" max="6404" width="6" style="3" bestFit="1" customWidth="1"/>
    <col min="6405" max="6405" width="31.7109375" style="3" customWidth="1"/>
    <col min="6406" max="6406" width="17.85546875" style="3" bestFit="1" customWidth="1"/>
    <col min="6407" max="6407" width="65" style="3" customWidth="1"/>
    <col min="6408" max="6408" width="15.85546875" style="3" bestFit="1" customWidth="1"/>
    <col min="6409" max="6409" width="17.140625" style="3" customWidth="1"/>
    <col min="6410" max="6659" width="9" style="3"/>
    <col min="6660" max="6660" width="6" style="3" bestFit="1" customWidth="1"/>
    <col min="6661" max="6661" width="31.7109375" style="3" customWidth="1"/>
    <col min="6662" max="6662" width="17.85546875" style="3" bestFit="1" customWidth="1"/>
    <col min="6663" max="6663" width="65" style="3" customWidth="1"/>
    <col min="6664" max="6664" width="15.85546875" style="3" bestFit="1" customWidth="1"/>
    <col min="6665" max="6665" width="17.140625" style="3" customWidth="1"/>
    <col min="6666" max="6915" width="9" style="3"/>
    <col min="6916" max="6916" width="6" style="3" bestFit="1" customWidth="1"/>
    <col min="6917" max="6917" width="31.7109375" style="3" customWidth="1"/>
    <col min="6918" max="6918" width="17.85546875" style="3" bestFit="1" customWidth="1"/>
    <col min="6919" max="6919" width="65" style="3" customWidth="1"/>
    <col min="6920" max="6920" width="15.85546875" style="3" bestFit="1" customWidth="1"/>
    <col min="6921" max="6921" width="17.140625" style="3" customWidth="1"/>
    <col min="6922" max="7168" width="9.140625" style="3"/>
    <col min="7169" max="7171" width="9" style="3"/>
    <col min="7172" max="7172" width="6" style="3" bestFit="1" customWidth="1"/>
    <col min="7173" max="7173" width="31.7109375" style="3" customWidth="1"/>
    <col min="7174" max="7174" width="17.85546875" style="3" bestFit="1" customWidth="1"/>
    <col min="7175" max="7175" width="65" style="3" customWidth="1"/>
    <col min="7176" max="7176" width="15.85546875" style="3" bestFit="1" customWidth="1"/>
    <col min="7177" max="7177" width="17.140625" style="3" customWidth="1"/>
    <col min="7178" max="7427" width="9" style="3"/>
    <col min="7428" max="7428" width="6" style="3" bestFit="1" customWidth="1"/>
    <col min="7429" max="7429" width="31.7109375" style="3" customWidth="1"/>
    <col min="7430" max="7430" width="17.85546875" style="3" bestFit="1" customWidth="1"/>
    <col min="7431" max="7431" width="65" style="3" customWidth="1"/>
    <col min="7432" max="7432" width="15.85546875" style="3" bestFit="1" customWidth="1"/>
    <col min="7433" max="7433" width="17.140625" style="3" customWidth="1"/>
    <col min="7434" max="7683" width="9" style="3"/>
    <col min="7684" max="7684" width="6" style="3" bestFit="1" customWidth="1"/>
    <col min="7685" max="7685" width="31.7109375" style="3" customWidth="1"/>
    <col min="7686" max="7686" width="17.85546875" style="3" bestFit="1" customWidth="1"/>
    <col min="7687" max="7687" width="65" style="3" customWidth="1"/>
    <col min="7688" max="7688" width="15.85546875" style="3" bestFit="1" customWidth="1"/>
    <col min="7689" max="7689" width="17.140625" style="3" customWidth="1"/>
    <col min="7690" max="7939" width="9" style="3"/>
    <col min="7940" max="7940" width="6" style="3" bestFit="1" customWidth="1"/>
    <col min="7941" max="7941" width="31.7109375" style="3" customWidth="1"/>
    <col min="7942" max="7942" width="17.85546875" style="3" bestFit="1" customWidth="1"/>
    <col min="7943" max="7943" width="65" style="3" customWidth="1"/>
    <col min="7944" max="7944" width="15.85546875" style="3" bestFit="1" customWidth="1"/>
    <col min="7945" max="7945" width="17.140625" style="3" customWidth="1"/>
    <col min="7946" max="8192" width="9.140625" style="3"/>
    <col min="8193" max="8195" width="9" style="3"/>
    <col min="8196" max="8196" width="6" style="3" bestFit="1" customWidth="1"/>
    <col min="8197" max="8197" width="31.7109375" style="3" customWidth="1"/>
    <col min="8198" max="8198" width="17.85546875" style="3" bestFit="1" customWidth="1"/>
    <col min="8199" max="8199" width="65" style="3" customWidth="1"/>
    <col min="8200" max="8200" width="15.85546875" style="3" bestFit="1" customWidth="1"/>
    <col min="8201" max="8201" width="17.140625" style="3" customWidth="1"/>
    <col min="8202" max="8451" width="9" style="3"/>
    <col min="8452" max="8452" width="6" style="3" bestFit="1" customWidth="1"/>
    <col min="8453" max="8453" width="31.7109375" style="3" customWidth="1"/>
    <col min="8454" max="8454" width="17.85546875" style="3" bestFit="1" customWidth="1"/>
    <col min="8455" max="8455" width="65" style="3" customWidth="1"/>
    <col min="8456" max="8456" width="15.85546875" style="3" bestFit="1" customWidth="1"/>
    <col min="8457" max="8457" width="17.140625" style="3" customWidth="1"/>
    <col min="8458" max="8707" width="9" style="3"/>
    <col min="8708" max="8708" width="6" style="3" bestFit="1" customWidth="1"/>
    <col min="8709" max="8709" width="31.7109375" style="3" customWidth="1"/>
    <col min="8710" max="8710" width="17.85546875" style="3" bestFit="1" customWidth="1"/>
    <col min="8711" max="8711" width="65" style="3" customWidth="1"/>
    <col min="8712" max="8712" width="15.85546875" style="3" bestFit="1" customWidth="1"/>
    <col min="8713" max="8713" width="17.140625" style="3" customWidth="1"/>
    <col min="8714" max="8963" width="9" style="3"/>
    <col min="8964" max="8964" width="6" style="3" bestFit="1" customWidth="1"/>
    <col min="8965" max="8965" width="31.7109375" style="3" customWidth="1"/>
    <col min="8966" max="8966" width="17.85546875" style="3" bestFit="1" customWidth="1"/>
    <col min="8967" max="8967" width="65" style="3" customWidth="1"/>
    <col min="8968" max="8968" width="15.85546875" style="3" bestFit="1" customWidth="1"/>
    <col min="8969" max="8969" width="17.140625" style="3" customWidth="1"/>
    <col min="8970" max="9216" width="9.140625" style="3"/>
    <col min="9217" max="9219" width="9" style="3"/>
    <col min="9220" max="9220" width="6" style="3" bestFit="1" customWidth="1"/>
    <col min="9221" max="9221" width="31.7109375" style="3" customWidth="1"/>
    <col min="9222" max="9222" width="17.85546875" style="3" bestFit="1" customWidth="1"/>
    <col min="9223" max="9223" width="65" style="3" customWidth="1"/>
    <col min="9224" max="9224" width="15.85546875" style="3" bestFit="1" customWidth="1"/>
    <col min="9225" max="9225" width="17.140625" style="3" customWidth="1"/>
    <col min="9226" max="9475" width="9" style="3"/>
    <col min="9476" max="9476" width="6" style="3" bestFit="1" customWidth="1"/>
    <col min="9477" max="9477" width="31.7109375" style="3" customWidth="1"/>
    <col min="9478" max="9478" width="17.85546875" style="3" bestFit="1" customWidth="1"/>
    <col min="9479" max="9479" width="65" style="3" customWidth="1"/>
    <col min="9480" max="9480" width="15.85546875" style="3" bestFit="1" customWidth="1"/>
    <col min="9481" max="9481" width="17.140625" style="3" customWidth="1"/>
    <col min="9482" max="9731" width="9" style="3"/>
    <col min="9732" max="9732" width="6" style="3" bestFit="1" customWidth="1"/>
    <col min="9733" max="9733" width="31.7109375" style="3" customWidth="1"/>
    <col min="9734" max="9734" width="17.85546875" style="3" bestFit="1" customWidth="1"/>
    <col min="9735" max="9735" width="65" style="3" customWidth="1"/>
    <col min="9736" max="9736" width="15.85546875" style="3" bestFit="1" customWidth="1"/>
    <col min="9737" max="9737" width="17.140625" style="3" customWidth="1"/>
    <col min="9738" max="9987" width="9" style="3"/>
    <col min="9988" max="9988" width="6" style="3" bestFit="1" customWidth="1"/>
    <col min="9989" max="9989" width="31.7109375" style="3" customWidth="1"/>
    <col min="9990" max="9990" width="17.85546875" style="3" bestFit="1" customWidth="1"/>
    <col min="9991" max="9991" width="65" style="3" customWidth="1"/>
    <col min="9992" max="9992" width="15.85546875" style="3" bestFit="1" customWidth="1"/>
    <col min="9993" max="9993" width="17.140625" style="3" customWidth="1"/>
    <col min="9994" max="10240" width="9.140625" style="3"/>
    <col min="10241" max="10243" width="9" style="3"/>
    <col min="10244" max="10244" width="6" style="3" bestFit="1" customWidth="1"/>
    <col min="10245" max="10245" width="31.7109375" style="3" customWidth="1"/>
    <col min="10246" max="10246" width="17.85546875" style="3" bestFit="1" customWidth="1"/>
    <col min="10247" max="10247" width="65" style="3" customWidth="1"/>
    <col min="10248" max="10248" width="15.85546875" style="3" bestFit="1" customWidth="1"/>
    <col min="10249" max="10249" width="17.140625" style="3" customWidth="1"/>
    <col min="10250" max="10499" width="9" style="3"/>
    <col min="10500" max="10500" width="6" style="3" bestFit="1" customWidth="1"/>
    <col min="10501" max="10501" width="31.7109375" style="3" customWidth="1"/>
    <col min="10502" max="10502" width="17.85546875" style="3" bestFit="1" customWidth="1"/>
    <col min="10503" max="10503" width="65" style="3" customWidth="1"/>
    <col min="10504" max="10504" width="15.85546875" style="3" bestFit="1" customWidth="1"/>
    <col min="10505" max="10505" width="17.140625" style="3" customWidth="1"/>
    <col min="10506" max="10755" width="9" style="3"/>
    <col min="10756" max="10756" width="6" style="3" bestFit="1" customWidth="1"/>
    <col min="10757" max="10757" width="31.7109375" style="3" customWidth="1"/>
    <col min="10758" max="10758" width="17.85546875" style="3" bestFit="1" customWidth="1"/>
    <col min="10759" max="10759" width="65" style="3" customWidth="1"/>
    <col min="10760" max="10760" width="15.85546875" style="3" bestFit="1" customWidth="1"/>
    <col min="10761" max="10761" width="17.140625" style="3" customWidth="1"/>
    <col min="10762" max="11011" width="9" style="3"/>
    <col min="11012" max="11012" width="6" style="3" bestFit="1" customWidth="1"/>
    <col min="11013" max="11013" width="31.7109375" style="3" customWidth="1"/>
    <col min="11014" max="11014" width="17.85546875" style="3" bestFit="1" customWidth="1"/>
    <col min="11015" max="11015" width="65" style="3" customWidth="1"/>
    <col min="11016" max="11016" width="15.85546875" style="3" bestFit="1" customWidth="1"/>
    <col min="11017" max="11017" width="17.140625" style="3" customWidth="1"/>
    <col min="11018" max="11264" width="9.140625" style="3"/>
    <col min="11265" max="11267" width="9" style="3"/>
    <col min="11268" max="11268" width="6" style="3" bestFit="1" customWidth="1"/>
    <col min="11269" max="11269" width="31.7109375" style="3" customWidth="1"/>
    <col min="11270" max="11270" width="17.85546875" style="3" bestFit="1" customWidth="1"/>
    <col min="11271" max="11271" width="65" style="3" customWidth="1"/>
    <col min="11272" max="11272" width="15.85546875" style="3" bestFit="1" customWidth="1"/>
    <col min="11273" max="11273" width="17.140625" style="3" customWidth="1"/>
    <col min="11274" max="11523" width="9" style="3"/>
    <col min="11524" max="11524" width="6" style="3" bestFit="1" customWidth="1"/>
    <col min="11525" max="11525" width="31.7109375" style="3" customWidth="1"/>
    <col min="11526" max="11526" width="17.85546875" style="3" bestFit="1" customWidth="1"/>
    <col min="11527" max="11527" width="65" style="3" customWidth="1"/>
    <col min="11528" max="11528" width="15.85546875" style="3" bestFit="1" customWidth="1"/>
    <col min="11529" max="11529" width="17.140625" style="3" customWidth="1"/>
    <col min="11530" max="11779" width="9" style="3"/>
    <col min="11780" max="11780" width="6" style="3" bestFit="1" customWidth="1"/>
    <col min="11781" max="11781" width="31.7109375" style="3" customWidth="1"/>
    <col min="11782" max="11782" width="17.85546875" style="3" bestFit="1" customWidth="1"/>
    <col min="11783" max="11783" width="65" style="3" customWidth="1"/>
    <col min="11784" max="11784" width="15.85546875" style="3" bestFit="1" customWidth="1"/>
    <col min="11785" max="11785" width="17.140625" style="3" customWidth="1"/>
    <col min="11786" max="12035" width="9" style="3"/>
    <col min="12036" max="12036" width="6" style="3" bestFit="1" customWidth="1"/>
    <col min="12037" max="12037" width="31.7109375" style="3" customWidth="1"/>
    <col min="12038" max="12038" width="17.85546875" style="3" bestFit="1" customWidth="1"/>
    <col min="12039" max="12039" width="65" style="3" customWidth="1"/>
    <col min="12040" max="12040" width="15.85546875" style="3" bestFit="1" customWidth="1"/>
    <col min="12041" max="12041" width="17.140625" style="3" customWidth="1"/>
    <col min="12042" max="12288" width="9.140625" style="3"/>
    <col min="12289" max="12291" width="9" style="3"/>
    <col min="12292" max="12292" width="6" style="3" bestFit="1" customWidth="1"/>
    <col min="12293" max="12293" width="31.7109375" style="3" customWidth="1"/>
    <col min="12294" max="12294" width="17.85546875" style="3" bestFit="1" customWidth="1"/>
    <col min="12295" max="12295" width="65" style="3" customWidth="1"/>
    <col min="12296" max="12296" width="15.85546875" style="3" bestFit="1" customWidth="1"/>
    <col min="12297" max="12297" width="17.140625" style="3" customWidth="1"/>
    <col min="12298" max="12547" width="9" style="3"/>
    <col min="12548" max="12548" width="6" style="3" bestFit="1" customWidth="1"/>
    <col min="12549" max="12549" width="31.7109375" style="3" customWidth="1"/>
    <col min="12550" max="12550" width="17.85546875" style="3" bestFit="1" customWidth="1"/>
    <col min="12551" max="12551" width="65" style="3" customWidth="1"/>
    <col min="12552" max="12552" width="15.85546875" style="3" bestFit="1" customWidth="1"/>
    <col min="12553" max="12553" width="17.140625" style="3" customWidth="1"/>
    <col min="12554" max="12803" width="9" style="3"/>
    <col min="12804" max="12804" width="6" style="3" bestFit="1" customWidth="1"/>
    <col min="12805" max="12805" width="31.7109375" style="3" customWidth="1"/>
    <col min="12806" max="12806" width="17.85546875" style="3" bestFit="1" customWidth="1"/>
    <col min="12807" max="12807" width="65" style="3" customWidth="1"/>
    <col min="12808" max="12808" width="15.85546875" style="3" bestFit="1" customWidth="1"/>
    <col min="12809" max="12809" width="17.140625" style="3" customWidth="1"/>
    <col min="12810" max="13059" width="9" style="3"/>
    <col min="13060" max="13060" width="6" style="3" bestFit="1" customWidth="1"/>
    <col min="13061" max="13061" width="31.7109375" style="3" customWidth="1"/>
    <col min="13062" max="13062" width="17.85546875" style="3" bestFit="1" customWidth="1"/>
    <col min="13063" max="13063" width="65" style="3" customWidth="1"/>
    <col min="13064" max="13064" width="15.85546875" style="3" bestFit="1" customWidth="1"/>
    <col min="13065" max="13065" width="17.140625" style="3" customWidth="1"/>
    <col min="13066" max="13312" width="9.140625" style="3"/>
    <col min="13313" max="13315" width="9" style="3"/>
    <col min="13316" max="13316" width="6" style="3" bestFit="1" customWidth="1"/>
    <col min="13317" max="13317" width="31.7109375" style="3" customWidth="1"/>
    <col min="13318" max="13318" width="17.85546875" style="3" bestFit="1" customWidth="1"/>
    <col min="13319" max="13319" width="65" style="3" customWidth="1"/>
    <col min="13320" max="13320" width="15.85546875" style="3" bestFit="1" customWidth="1"/>
    <col min="13321" max="13321" width="17.140625" style="3" customWidth="1"/>
    <col min="13322" max="13571" width="9" style="3"/>
    <col min="13572" max="13572" width="6" style="3" bestFit="1" customWidth="1"/>
    <col min="13573" max="13573" width="31.7109375" style="3" customWidth="1"/>
    <col min="13574" max="13574" width="17.85546875" style="3" bestFit="1" customWidth="1"/>
    <col min="13575" max="13575" width="65" style="3" customWidth="1"/>
    <col min="13576" max="13576" width="15.85546875" style="3" bestFit="1" customWidth="1"/>
    <col min="13577" max="13577" width="17.140625" style="3" customWidth="1"/>
    <col min="13578" max="13827" width="9" style="3"/>
    <col min="13828" max="13828" width="6" style="3" bestFit="1" customWidth="1"/>
    <col min="13829" max="13829" width="31.7109375" style="3" customWidth="1"/>
    <col min="13830" max="13830" width="17.85546875" style="3" bestFit="1" customWidth="1"/>
    <col min="13831" max="13831" width="65" style="3" customWidth="1"/>
    <col min="13832" max="13832" width="15.85546875" style="3" bestFit="1" customWidth="1"/>
    <col min="13833" max="13833" width="17.140625" style="3" customWidth="1"/>
    <col min="13834" max="14083" width="9" style="3"/>
    <col min="14084" max="14084" width="6" style="3" bestFit="1" customWidth="1"/>
    <col min="14085" max="14085" width="31.7109375" style="3" customWidth="1"/>
    <col min="14086" max="14086" width="17.85546875" style="3" bestFit="1" customWidth="1"/>
    <col min="14087" max="14087" width="65" style="3" customWidth="1"/>
    <col min="14088" max="14088" width="15.85546875" style="3" bestFit="1" customWidth="1"/>
    <col min="14089" max="14089" width="17.140625" style="3" customWidth="1"/>
    <col min="14090" max="14336" width="9.140625" style="3"/>
    <col min="14337" max="14339" width="9" style="3"/>
    <col min="14340" max="14340" width="6" style="3" bestFit="1" customWidth="1"/>
    <col min="14341" max="14341" width="31.7109375" style="3" customWidth="1"/>
    <col min="14342" max="14342" width="17.85546875" style="3" bestFit="1" customWidth="1"/>
    <col min="14343" max="14343" width="65" style="3" customWidth="1"/>
    <col min="14344" max="14344" width="15.85546875" style="3" bestFit="1" customWidth="1"/>
    <col min="14345" max="14345" width="17.140625" style="3" customWidth="1"/>
    <col min="14346" max="14595" width="9" style="3"/>
    <col min="14596" max="14596" width="6" style="3" bestFit="1" customWidth="1"/>
    <col min="14597" max="14597" width="31.7109375" style="3" customWidth="1"/>
    <col min="14598" max="14598" width="17.85546875" style="3" bestFit="1" customWidth="1"/>
    <col min="14599" max="14599" width="65" style="3" customWidth="1"/>
    <col min="14600" max="14600" width="15.85546875" style="3" bestFit="1" customWidth="1"/>
    <col min="14601" max="14601" width="17.140625" style="3" customWidth="1"/>
    <col min="14602" max="14851" width="9" style="3"/>
    <col min="14852" max="14852" width="6" style="3" bestFit="1" customWidth="1"/>
    <col min="14853" max="14853" width="31.7109375" style="3" customWidth="1"/>
    <col min="14854" max="14854" width="17.85546875" style="3" bestFit="1" customWidth="1"/>
    <col min="14855" max="14855" width="65" style="3" customWidth="1"/>
    <col min="14856" max="14856" width="15.85546875" style="3" bestFit="1" customWidth="1"/>
    <col min="14857" max="14857" width="17.140625" style="3" customWidth="1"/>
    <col min="14858" max="15107" width="9" style="3"/>
    <col min="15108" max="15108" width="6" style="3" bestFit="1" customWidth="1"/>
    <col min="15109" max="15109" width="31.7109375" style="3" customWidth="1"/>
    <col min="15110" max="15110" width="17.85546875" style="3" bestFit="1" customWidth="1"/>
    <col min="15111" max="15111" width="65" style="3" customWidth="1"/>
    <col min="15112" max="15112" width="15.85546875" style="3" bestFit="1" customWidth="1"/>
    <col min="15113" max="15113" width="17.140625" style="3" customWidth="1"/>
    <col min="15114" max="15360" width="9.140625" style="3"/>
    <col min="15361" max="15363" width="9" style="3"/>
    <col min="15364" max="15364" width="6" style="3" bestFit="1" customWidth="1"/>
    <col min="15365" max="15365" width="31.7109375" style="3" customWidth="1"/>
    <col min="15366" max="15366" width="17.85546875" style="3" bestFit="1" customWidth="1"/>
    <col min="15367" max="15367" width="65" style="3" customWidth="1"/>
    <col min="15368" max="15368" width="15.85546875" style="3" bestFit="1" customWidth="1"/>
    <col min="15369" max="15369" width="17.140625" style="3" customWidth="1"/>
    <col min="15370" max="15619" width="9" style="3"/>
    <col min="15620" max="15620" width="6" style="3" bestFit="1" customWidth="1"/>
    <col min="15621" max="15621" width="31.7109375" style="3" customWidth="1"/>
    <col min="15622" max="15622" width="17.85546875" style="3" bestFit="1" customWidth="1"/>
    <col min="15623" max="15623" width="65" style="3" customWidth="1"/>
    <col min="15624" max="15624" width="15.85546875" style="3" bestFit="1" customWidth="1"/>
    <col min="15625" max="15625" width="17.140625" style="3" customWidth="1"/>
    <col min="15626" max="15875" width="9" style="3"/>
    <col min="15876" max="15876" width="6" style="3" bestFit="1" customWidth="1"/>
    <col min="15877" max="15877" width="31.7109375" style="3" customWidth="1"/>
    <col min="15878" max="15878" width="17.85546875" style="3" bestFit="1" customWidth="1"/>
    <col min="15879" max="15879" width="65" style="3" customWidth="1"/>
    <col min="15880" max="15880" width="15.85546875" style="3" bestFit="1" customWidth="1"/>
    <col min="15881" max="15881" width="17.140625" style="3" customWidth="1"/>
    <col min="15882" max="16131" width="9" style="3"/>
    <col min="16132" max="16132" width="6" style="3" bestFit="1" customWidth="1"/>
    <col min="16133" max="16133" width="31.7109375" style="3" customWidth="1"/>
    <col min="16134" max="16134" width="17.85546875" style="3" bestFit="1" customWidth="1"/>
    <col min="16135" max="16135" width="65" style="3" customWidth="1"/>
    <col min="16136" max="16136" width="15.85546875" style="3" bestFit="1" customWidth="1"/>
    <col min="16137" max="16137" width="17.140625" style="3" customWidth="1"/>
    <col min="16138" max="16384" width="9.140625" style="3"/>
  </cols>
  <sheetData>
    <row r="1" spans="1:12">
      <c r="A1" s="1"/>
      <c r="B1" s="2"/>
      <c r="C1" s="2"/>
      <c r="D1" s="1063" t="s">
        <v>260</v>
      </c>
      <c r="E1" s="1063"/>
      <c r="F1" s="1063"/>
      <c r="G1" s="1063"/>
      <c r="H1" s="1063"/>
    </row>
    <row r="2" spans="1:12" ht="26.25" customHeight="1">
      <c r="A2" s="1061" t="s">
        <v>1088</v>
      </c>
      <c r="B2" s="1061"/>
      <c r="C2" s="1061"/>
      <c r="D2" s="1061"/>
      <c r="E2" s="1061"/>
      <c r="F2" s="1061"/>
      <c r="G2" s="1061"/>
      <c r="H2" s="1061"/>
      <c r="I2" s="21"/>
      <c r="J2" s="259"/>
      <c r="K2" s="21"/>
      <c r="L2" s="21"/>
    </row>
    <row r="3" spans="1:12">
      <c r="A3" s="1062" t="s">
        <v>264</v>
      </c>
      <c r="B3" s="1062" t="s">
        <v>241</v>
      </c>
      <c r="C3" s="1062"/>
      <c r="D3" s="1062"/>
      <c r="E3" s="1062"/>
      <c r="F3" s="1062"/>
      <c r="G3" s="1062"/>
      <c r="H3" s="1062"/>
      <c r="I3" s="21"/>
      <c r="J3" s="259"/>
      <c r="K3" s="21"/>
      <c r="L3" s="21"/>
    </row>
    <row r="4" spans="1:12">
      <c r="A4" s="4"/>
      <c r="B4" s="5"/>
      <c r="C4" s="5"/>
      <c r="D4" s="6"/>
      <c r="E4" s="6"/>
      <c r="F4" s="6"/>
      <c r="G4" s="1066" t="s">
        <v>258</v>
      </c>
      <c r="H4" s="1066"/>
    </row>
    <row r="5" spans="1:12" ht="44.25" customHeight="1">
      <c r="A5" s="1053" t="s">
        <v>0</v>
      </c>
      <c r="B5" s="1053" t="s">
        <v>123</v>
      </c>
      <c r="C5" s="1053" t="s">
        <v>122</v>
      </c>
      <c r="D5" s="1053" t="s">
        <v>242</v>
      </c>
      <c r="E5" s="253" t="s">
        <v>250</v>
      </c>
      <c r="F5" s="253" t="s">
        <v>251</v>
      </c>
      <c r="G5" s="253" t="s">
        <v>252</v>
      </c>
      <c r="H5" s="1053" t="s">
        <v>3</v>
      </c>
    </row>
    <row r="6" spans="1:12" ht="15.75" customHeight="1">
      <c r="A6" s="1067" t="s">
        <v>261</v>
      </c>
      <c r="B6" s="1067"/>
      <c r="C6" s="1067"/>
      <c r="D6" s="253">
        <f>D7+D13</f>
        <v>189803660525</v>
      </c>
      <c r="E6" s="253">
        <f t="shared" ref="E6" si="0">E7+E13</f>
        <v>184737056325</v>
      </c>
      <c r="F6" s="253">
        <f>F7+F13</f>
        <v>5066604200</v>
      </c>
      <c r="G6" s="274">
        <f>E6/D6</f>
        <v>0.97330607752250042</v>
      </c>
      <c r="H6" s="1053"/>
    </row>
    <row r="7" spans="1:12">
      <c r="A7" s="270" t="s">
        <v>4</v>
      </c>
      <c r="B7" s="271" t="s">
        <v>124</v>
      </c>
      <c r="C7" s="270"/>
      <c r="D7" s="272">
        <v>527594128</v>
      </c>
      <c r="E7" s="272">
        <v>527594128</v>
      </c>
      <c r="F7" s="272">
        <v>0</v>
      </c>
      <c r="G7" s="273">
        <f>E7/D7</f>
        <v>1</v>
      </c>
      <c r="H7" s="270"/>
    </row>
    <row r="8" spans="1:12" ht="15.75" hidden="1" customHeight="1">
      <c r="A8" s="23" t="s">
        <v>6</v>
      </c>
      <c r="B8" s="24" t="s">
        <v>117</v>
      </c>
      <c r="C8" s="23"/>
      <c r="D8" s="254">
        <v>264632878</v>
      </c>
      <c r="E8" s="254">
        <v>264632878</v>
      </c>
      <c r="F8" s="254">
        <v>0</v>
      </c>
      <c r="G8" s="263">
        <f>E8/D8</f>
        <v>1</v>
      </c>
      <c r="H8" s="90"/>
    </row>
    <row r="9" spans="1:12" ht="15.75" hidden="1" customHeight="1">
      <c r="A9" s="25"/>
      <c r="B9" s="26" t="s">
        <v>125</v>
      </c>
      <c r="C9" s="27"/>
      <c r="D9" s="255">
        <v>15954750</v>
      </c>
      <c r="E9" s="255">
        <v>15954750</v>
      </c>
      <c r="F9" s="255">
        <v>0</v>
      </c>
      <c r="G9" s="263">
        <f t="shared" ref="G9:G72" si="1">E9/D9</f>
        <v>1</v>
      </c>
      <c r="H9" s="90"/>
    </row>
    <row r="10" spans="1:12" ht="15.75" hidden="1" customHeight="1">
      <c r="A10" s="25"/>
      <c r="B10" s="26" t="s">
        <v>126</v>
      </c>
      <c r="C10" s="27"/>
      <c r="D10" s="255">
        <v>248678128</v>
      </c>
      <c r="E10" s="255">
        <v>248678128</v>
      </c>
      <c r="F10" s="255">
        <v>0</v>
      </c>
      <c r="G10" s="263">
        <f t="shared" si="1"/>
        <v>1</v>
      </c>
      <c r="H10" s="90"/>
    </row>
    <row r="11" spans="1:12" ht="15.75" hidden="1" customHeight="1">
      <c r="A11" s="23" t="s">
        <v>46</v>
      </c>
      <c r="B11" s="24" t="s">
        <v>118</v>
      </c>
      <c r="C11" s="28"/>
      <c r="D11" s="254">
        <v>92531250</v>
      </c>
      <c r="E11" s="254">
        <v>92531250</v>
      </c>
      <c r="F11" s="254">
        <v>0</v>
      </c>
      <c r="G11" s="263">
        <f t="shared" si="1"/>
        <v>1</v>
      </c>
      <c r="H11" s="90"/>
    </row>
    <row r="12" spans="1:12" ht="15.75" hidden="1" customHeight="1">
      <c r="A12" s="23" t="s">
        <v>71</v>
      </c>
      <c r="B12" s="24" t="s">
        <v>119</v>
      </c>
      <c r="C12" s="28"/>
      <c r="D12" s="254">
        <v>170430000</v>
      </c>
      <c r="E12" s="254">
        <v>170430000</v>
      </c>
      <c r="F12" s="254">
        <v>0</v>
      </c>
      <c r="G12" s="263">
        <f t="shared" si="1"/>
        <v>1</v>
      </c>
      <c r="H12" s="90"/>
    </row>
    <row r="13" spans="1:12">
      <c r="A13" s="90" t="s">
        <v>90</v>
      </c>
      <c r="B13" s="29" t="s">
        <v>127</v>
      </c>
      <c r="C13" s="91"/>
      <c r="D13" s="256">
        <v>189276066397</v>
      </c>
      <c r="E13" s="256">
        <v>184209462197</v>
      </c>
      <c r="F13" s="256">
        <v>5066604200</v>
      </c>
      <c r="G13" s="264">
        <f t="shared" si="1"/>
        <v>0.97323167003390187</v>
      </c>
      <c r="H13" s="92"/>
      <c r="I13" s="87"/>
      <c r="J13" s="260"/>
    </row>
    <row r="14" spans="1:12">
      <c r="A14" s="90" t="s">
        <v>144</v>
      </c>
      <c r="B14" s="29" t="s">
        <v>7</v>
      </c>
      <c r="C14" s="91"/>
      <c r="D14" s="93">
        <v>2092028777</v>
      </c>
      <c r="E14" s="93">
        <v>1608564777</v>
      </c>
      <c r="F14" s="93">
        <v>483464000</v>
      </c>
      <c r="G14" s="264">
        <f t="shared" si="1"/>
        <v>0.76890184049318167</v>
      </c>
      <c r="H14" s="92"/>
    </row>
    <row r="15" spans="1:12">
      <c r="A15" s="90">
        <v>1</v>
      </c>
      <c r="B15" s="91" t="s">
        <v>8</v>
      </c>
      <c r="C15" s="91"/>
      <c r="D15" s="256">
        <v>986435000</v>
      </c>
      <c r="E15" s="256">
        <v>877724000</v>
      </c>
      <c r="F15" s="256">
        <v>108711000</v>
      </c>
      <c r="G15" s="264">
        <f t="shared" si="1"/>
        <v>0.88979405637472309</v>
      </c>
      <c r="H15" s="92"/>
    </row>
    <row r="16" spans="1:12" s="37" customFormat="1">
      <c r="A16" s="94" t="s">
        <v>15</v>
      </c>
      <c r="B16" s="95" t="s">
        <v>5</v>
      </c>
      <c r="C16" s="96"/>
      <c r="D16" s="97">
        <v>660491000</v>
      </c>
      <c r="E16" s="97">
        <v>660491000</v>
      </c>
      <c r="F16" s="97">
        <v>0</v>
      </c>
      <c r="G16" s="266">
        <f t="shared" si="1"/>
        <v>1</v>
      </c>
      <c r="H16" s="98"/>
      <c r="J16" s="261"/>
    </row>
    <row r="17" spans="1:10" ht="15.75" hidden="1" customHeight="1">
      <c r="A17" s="23" t="s">
        <v>130</v>
      </c>
      <c r="B17" s="99" t="s">
        <v>9</v>
      </c>
      <c r="C17" s="100"/>
      <c r="D17" s="101">
        <v>545068000</v>
      </c>
      <c r="E17" s="101">
        <v>545068000</v>
      </c>
      <c r="F17" s="101">
        <v>0</v>
      </c>
      <c r="G17" s="263">
        <f t="shared" si="1"/>
        <v>1</v>
      </c>
      <c r="H17" s="92"/>
      <c r="I17" s="30"/>
    </row>
    <row r="18" spans="1:10" s="10" customFormat="1" ht="47.25" hidden="1" customHeight="1">
      <c r="A18" s="25"/>
      <c r="B18" s="102"/>
      <c r="C18" s="202" t="s">
        <v>233</v>
      </c>
      <c r="D18" s="103">
        <v>83835000</v>
      </c>
      <c r="E18" s="103">
        <v>83835000</v>
      </c>
      <c r="F18" s="254">
        <v>0</v>
      </c>
      <c r="G18" s="263">
        <f t="shared" si="1"/>
        <v>1</v>
      </c>
      <c r="H18" s="104"/>
      <c r="J18" s="88"/>
    </row>
    <row r="19" spans="1:10" s="10" customFormat="1" ht="15.75" hidden="1" customHeight="1">
      <c r="A19" s="25"/>
      <c r="B19" s="102"/>
      <c r="C19" s="202" t="s">
        <v>234</v>
      </c>
      <c r="D19" s="103">
        <v>95836000</v>
      </c>
      <c r="E19" s="103">
        <v>95836000</v>
      </c>
      <c r="F19" s="254">
        <v>0</v>
      </c>
      <c r="G19" s="263">
        <f t="shared" si="1"/>
        <v>1</v>
      </c>
      <c r="H19" s="104"/>
      <c r="J19" s="88"/>
    </row>
    <row r="20" spans="1:10" s="10" customFormat="1" ht="47.25" hidden="1" customHeight="1">
      <c r="A20" s="25"/>
      <c r="B20" s="102"/>
      <c r="C20" s="202" t="s">
        <v>235</v>
      </c>
      <c r="D20" s="103">
        <v>365397000</v>
      </c>
      <c r="E20" s="103">
        <v>365397000</v>
      </c>
      <c r="F20" s="254">
        <v>0</v>
      </c>
      <c r="G20" s="263">
        <f t="shared" si="1"/>
        <v>1</v>
      </c>
      <c r="H20" s="104"/>
      <c r="J20" s="88"/>
    </row>
    <row r="21" spans="1:10" ht="15.75" hidden="1" customHeight="1">
      <c r="A21" s="23" t="s">
        <v>131</v>
      </c>
      <c r="B21" s="105" t="s">
        <v>63</v>
      </c>
      <c r="C21" s="203"/>
      <c r="D21" s="101">
        <v>37716000</v>
      </c>
      <c r="E21" s="101">
        <v>37716000</v>
      </c>
      <c r="F21" s="101">
        <v>0</v>
      </c>
      <c r="G21" s="263">
        <f t="shared" si="1"/>
        <v>1</v>
      </c>
      <c r="H21" s="92"/>
      <c r="I21" s="30"/>
    </row>
    <row r="22" spans="1:10" s="10" customFormat="1" ht="31.5" hidden="1" customHeight="1">
      <c r="A22" s="25" t="s">
        <v>128</v>
      </c>
      <c r="B22" s="102" t="s">
        <v>10</v>
      </c>
      <c r="C22" s="204" t="s">
        <v>192</v>
      </c>
      <c r="D22" s="103">
        <v>37716000</v>
      </c>
      <c r="E22" s="103">
        <v>37716000</v>
      </c>
      <c r="F22" s="254">
        <v>0</v>
      </c>
      <c r="G22" s="263">
        <f t="shared" si="1"/>
        <v>1</v>
      </c>
      <c r="H22" s="104"/>
      <c r="J22" s="88"/>
    </row>
    <row r="23" spans="1:10" ht="15.75" hidden="1" customHeight="1">
      <c r="A23" s="23" t="s">
        <v>132</v>
      </c>
      <c r="B23" s="105" t="s">
        <v>56</v>
      </c>
      <c r="C23" s="203"/>
      <c r="D23" s="101">
        <v>74820000</v>
      </c>
      <c r="E23" s="101">
        <v>74820000</v>
      </c>
      <c r="F23" s="101">
        <v>0</v>
      </c>
      <c r="G23" s="263">
        <f t="shared" si="1"/>
        <v>1</v>
      </c>
      <c r="H23" s="92"/>
      <c r="I23" s="30"/>
    </row>
    <row r="24" spans="1:10" ht="66.75" hidden="1" customHeight="1">
      <c r="A24" s="23" t="s">
        <v>128</v>
      </c>
      <c r="B24" s="1052" t="s">
        <v>11</v>
      </c>
      <c r="C24" s="202" t="s">
        <v>240</v>
      </c>
      <c r="D24" s="141"/>
      <c r="E24" s="141"/>
      <c r="F24" s="254"/>
      <c r="G24" s="263"/>
      <c r="H24" s="92"/>
    </row>
    <row r="25" spans="1:10" ht="31.5" hidden="1" customHeight="1">
      <c r="A25" s="23"/>
      <c r="B25" s="106"/>
      <c r="C25" s="202" t="s">
        <v>225</v>
      </c>
      <c r="D25" s="103">
        <v>33226000</v>
      </c>
      <c r="E25" s="103">
        <v>33226000</v>
      </c>
      <c r="F25" s="254">
        <v>0</v>
      </c>
      <c r="G25" s="263">
        <f t="shared" si="1"/>
        <v>1</v>
      </c>
      <c r="H25" s="92"/>
    </row>
    <row r="26" spans="1:10" ht="31.5" hidden="1" customHeight="1">
      <c r="A26" s="23"/>
      <c r="B26" s="106"/>
      <c r="C26" s="202" t="s">
        <v>226</v>
      </c>
      <c r="D26" s="103">
        <v>17144000</v>
      </c>
      <c r="E26" s="103">
        <v>17144000</v>
      </c>
      <c r="F26" s="254">
        <v>0</v>
      </c>
      <c r="G26" s="263">
        <f t="shared" si="1"/>
        <v>1</v>
      </c>
      <c r="H26" s="92"/>
    </row>
    <row r="27" spans="1:10" ht="47.25" hidden="1" customHeight="1">
      <c r="A27" s="23"/>
      <c r="B27" s="106"/>
      <c r="C27" s="202" t="s">
        <v>227</v>
      </c>
      <c r="D27" s="103">
        <v>3373000</v>
      </c>
      <c r="E27" s="103">
        <v>3373000</v>
      </c>
      <c r="F27" s="254">
        <v>0</v>
      </c>
      <c r="G27" s="263">
        <f t="shared" si="1"/>
        <v>1</v>
      </c>
      <c r="H27" s="92"/>
    </row>
    <row r="28" spans="1:10" ht="31.5" hidden="1" customHeight="1">
      <c r="A28" s="23"/>
      <c r="B28" s="106"/>
      <c r="C28" s="202" t="s">
        <v>228</v>
      </c>
      <c r="D28" s="103">
        <v>5849000</v>
      </c>
      <c r="E28" s="103">
        <v>5849000</v>
      </c>
      <c r="F28" s="254">
        <v>0</v>
      </c>
      <c r="G28" s="263">
        <f t="shared" si="1"/>
        <v>1</v>
      </c>
      <c r="H28" s="92"/>
    </row>
    <row r="29" spans="1:10" ht="31.5" hidden="1" customHeight="1">
      <c r="A29" s="23"/>
      <c r="B29" s="106"/>
      <c r="C29" s="202" t="s">
        <v>229</v>
      </c>
      <c r="D29" s="103">
        <v>2431000</v>
      </c>
      <c r="E29" s="103">
        <v>2431000</v>
      </c>
      <c r="F29" s="254">
        <v>0</v>
      </c>
      <c r="G29" s="263">
        <f t="shared" si="1"/>
        <v>1</v>
      </c>
      <c r="H29" s="92"/>
    </row>
    <row r="30" spans="1:10" ht="31.5" hidden="1" customHeight="1">
      <c r="A30" s="23"/>
      <c r="B30" s="106"/>
      <c r="C30" s="202" t="s">
        <v>230</v>
      </c>
      <c r="D30" s="103">
        <v>8264000</v>
      </c>
      <c r="E30" s="103">
        <v>8264000</v>
      </c>
      <c r="F30" s="254">
        <v>0</v>
      </c>
      <c r="G30" s="263">
        <f t="shared" si="1"/>
        <v>1</v>
      </c>
      <c r="H30" s="92"/>
    </row>
    <row r="31" spans="1:10" ht="31.5" hidden="1" customHeight="1">
      <c r="A31" s="23"/>
      <c r="B31" s="106"/>
      <c r="C31" s="202" t="s">
        <v>231</v>
      </c>
      <c r="D31" s="103">
        <v>4533000</v>
      </c>
      <c r="E31" s="103">
        <v>4533000</v>
      </c>
      <c r="F31" s="254">
        <v>0</v>
      </c>
      <c r="G31" s="263">
        <f t="shared" si="1"/>
        <v>1</v>
      </c>
      <c r="H31" s="92"/>
    </row>
    <row r="32" spans="1:10" ht="15.75" hidden="1" customHeight="1">
      <c r="A32" s="23" t="s">
        <v>133</v>
      </c>
      <c r="B32" s="106" t="s">
        <v>39</v>
      </c>
      <c r="C32" s="205"/>
      <c r="D32" s="107">
        <v>2887000</v>
      </c>
      <c r="E32" s="107">
        <v>2887000</v>
      </c>
      <c r="F32" s="107">
        <v>0</v>
      </c>
      <c r="G32" s="263">
        <f t="shared" si="1"/>
        <v>1</v>
      </c>
      <c r="H32" s="92"/>
      <c r="I32" s="30"/>
    </row>
    <row r="33" spans="1:10" s="10" customFormat="1" ht="78.75" hidden="1" customHeight="1">
      <c r="A33" s="25" t="s">
        <v>128</v>
      </c>
      <c r="B33" s="1052" t="s">
        <v>12</v>
      </c>
      <c r="C33" s="202" t="s">
        <v>232</v>
      </c>
      <c r="D33" s="103">
        <v>2887000</v>
      </c>
      <c r="E33" s="103">
        <v>2887000</v>
      </c>
      <c r="F33" s="254">
        <v>0</v>
      </c>
      <c r="G33" s="263">
        <f t="shared" si="1"/>
        <v>1</v>
      </c>
      <c r="H33" s="104"/>
      <c r="J33" s="88"/>
    </row>
    <row r="34" spans="1:10" s="37" customFormat="1">
      <c r="A34" s="94" t="s">
        <v>18</v>
      </c>
      <c r="B34" s="108" t="s">
        <v>91</v>
      </c>
      <c r="C34" s="206"/>
      <c r="D34" s="109">
        <v>325944000</v>
      </c>
      <c r="E34" s="109">
        <v>217233000</v>
      </c>
      <c r="F34" s="109">
        <v>108711000</v>
      </c>
      <c r="G34" s="266">
        <f t="shared" si="1"/>
        <v>0.66647338193063843</v>
      </c>
      <c r="H34" s="98"/>
      <c r="J34" s="261"/>
    </row>
    <row r="35" spans="1:10">
      <c r="A35" s="23" t="s">
        <v>130</v>
      </c>
      <c r="B35" s="110" t="s">
        <v>112</v>
      </c>
      <c r="C35" s="207"/>
      <c r="D35" s="112">
        <v>69148000</v>
      </c>
      <c r="E35" s="112">
        <v>69148000</v>
      </c>
      <c r="F35" s="112">
        <v>0</v>
      </c>
      <c r="G35" s="263">
        <f t="shared" si="1"/>
        <v>1</v>
      </c>
      <c r="H35" s="92"/>
      <c r="I35" s="30"/>
    </row>
    <row r="36" spans="1:10" ht="15.75" hidden="1" customHeight="1">
      <c r="A36" s="104" t="s">
        <v>128</v>
      </c>
      <c r="B36" s="113" t="s">
        <v>105</v>
      </c>
      <c r="C36" s="205"/>
      <c r="D36" s="92"/>
      <c r="E36" s="92"/>
      <c r="F36" s="254">
        <v>0</v>
      </c>
      <c r="G36" s="263"/>
      <c r="H36" s="92"/>
    </row>
    <row r="37" spans="1:10" ht="31.5" hidden="1" customHeight="1">
      <c r="A37" s="104"/>
      <c r="B37" s="114"/>
      <c r="C37" s="202" t="s">
        <v>211</v>
      </c>
      <c r="D37" s="103">
        <v>32056000</v>
      </c>
      <c r="E37" s="103">
        <v>32056000</v>
      </c>
      <c r="F37" s="254">
        <v>0</v>
      </c>
      <c r="G37" s="263">
        <f t="shared" si="1"/>
        <v>1</v>
      </c>
      <c r="H37" s="92"/>
    </row>
    <row r="38" spans="1:10" ht="15.75" hidden="1" customHeight="1">
      <c r="A38" s="92"/>
      <c r="B38" s="115"/>
      <c r="C38" s="202" t="s">
        <v>212</v>
      </c>
      <c r="D38" s="103">
        <v>37092000</v>
      </c>
      <c r="E38" s="103">
        <v>37092000</v>
      </c>
      <c r="F38" s="254">
        <v>0</v>
      </c>
      <c r="G38" s="263">
        <f t="shared" si="1"/>
        <v>1</v>
      </c>
      <c r="H38" s="92"/>
    </row>
    <row r="39" spans="1:10">
      <c r="A39" s="92" t="s">
        <v>131</v>
      </c>
      <c r="B39" s="115" t="s">
        <v>99</v>
      </c>
      <c r="C39" s="208"/>
      <c r="D39" s="112">
        <v>108711000</v>
      </c>
      <c r="E39" s="112">
        <v>0</v>
      </c>
      <c r="F39" s="112">
        <v>108711000</v>
      </c>
      <c r="G39" s="263">
        <f t="shared" si="1"/>
        <v>0</v>
      </c>
      <c r="H39" s="92"/>
      <c r="I39" s="30"/>
    </row>
    <row r="40" spans="1:10" s="201" customFormat="1">
      <c r="A40" s="199" t="s">
        <v>128</v>
      </c>
      <c r="B40" s="113" t="s">
        <v>106</v>
      </c>
      <c r="C40" s="209"/>
      <c r="D40" s="200"/>
      <c r="E40" s="200"/>
      <c r="F40" s="254">
        <v>0</v>
      </c>
      <c r="G40" s="263"/>
      <c r="H40" s="199"/>
      <c r="J40" s="88"/>
    </row>
    <row r="41" spans="1:10" ht="31.5">
      <c r="A41" s="92"/>
      <c r="B41" s="115"/>
      <c r="C41" s="202" t="s">
        <v>213</v>
      </c>
      <c r="D41" s="103">
        <v>22840000</v>
      </c>
      <c r="E41" s="103">
        <v>0</v>
      </c>
      <c r="F41" s="254">
        <v>22840000</v>
      </c>
      <c r="G41" s="263">
        <f t="shared" si="1"/>
        <v>0</v>
      </c>
      <c r="H41" s="92"/>
    </row>
    <row r="42" spans="1:10" ht="31.5">
      <c r="A42" s="92"/>
      <c r="B42" s="115"/>
      <c r="C42" s="202" t="s">
        <v>214</v>
      </c>
      <c r="D42" s="103">
        <v>21655000</v>
      </c>
      <c r="E42" s="103">
        <v>0</v>
      </c>
      <c r="F42" s="254">
        <v>21655000</v>
      </c>
      <c r="G42" s="263">
        <f t="shared" si="1"/>
        <v>0</v>
      </c>
      <c r="H42" s="92"/>
    </row>
    <row r="43" spans="1:10">
      <c r="A43" s="92"/>
      <c r="B43" s="115"/>
      <c r="C43" s="202" t="s">
        <v>215</v>
      </c>
      <c r="D43" s="103">
        <v>32356000</v>
      </c>
      <c r="E43" s="103">
        <v>0</v>
      </c>
      <c r="F43" s="254">
        <v>32356000</v>
      </c>
      <c r="G43" s="263">
        <f t="shared" si="1"/>
        <v>0</v>
      </c>
      <c r="H43" s="92"/>
    </row>
    <row r="44" spans="1:10" ht="31.5">
      <c r="A44" s="92"/>
      <c r="B44" s="115"/>
      <c r="C44" s="202" t="s">
        <v>216</v>
      </c>
      <c r="D44" s="103">
        <v>31860000</v>
      </c>
      <c r="E44" s="103">
        <v>0</v>
      </c>
      <c r="F44" s="254">
        <v>31860000</v>
      </c>
      <c r="G44" s="263">
        <f t="shared" si="1"/>
        <v>0</v>
      </c>
      <c r="H44" s="92"/>
    </row>
    <row r="45" spans="1:10" ht="15.75" hidden="1" customHeight="1">
      <c r="A45" s="92" t="s">
        <v>132</v>
      </c>
      <c r="B45" s="115" t="s">
        <v>101</v>
      </c>
      <c r="C45" s="208"/>
      <c r="D45" s="112">
        <v>148085000</v>
      </c>
      <c r="E45" s="112">
        <v>148085000</v>
      </c>
      <c r="F45" s="112">
        <v>0</v>
      </c>
      <c r="G45" s="263">
        <f t="shared" si="1"/>
        <v>1</v>
      </c>
      <c r="H45" s="92"/>
      <c r="I45" s="30"/>
    </row>
    <row r="46" spans="1:10" s="10" customFormat="1" ht="15.75" hidden="1" customHeight="1">
      <c r="A46" s="104"/>
      <c r="B46" s="113" t="s">
        <v>107</v>
      </c>
      <c r="C46" s="210"/>
      <c r="D46" s="127"/>
      <c r="E46" s="127"/>
      <c r="F46" s="254">
        <v>0</v>
      </c>
      <c r="G46" s="263"/>
      <c r="H46" s="104"/>
      <c r="J46" s="88"/>
    </row>
    <row r="47" spans="1:10" ht="31.5" hidden="1" customHeight="1">
      <c r="A47" s="92"/>
      <c r="B47" s="115"/>
      <c r="C47" s="202" t="s">
        <v>217</v>
      </c>
      <c r="D47" s="103">
        <v>34962000</v>
      </c>
      <c r="E47" s="103">
        <v>34962000</v>
      </c>
      <c r="F47" s="254">
        <v>0</v>
      </c>
      <c r="G47" s="263">
        <f t="shared" si="1"/>
        <v>1</v>
      </c>
      <c r="H47" s="92"/>
    </row>
    <row r="48" spans="1:10" ht="47.25" hidden="1" customHeight="1">
      <c r="A48" s="92"/>
      <c r="B48" s="115"/>
      <c r="C48" s="202" t="s">
        <v>218</v>
      </c>
      <c r="D48" s="103">
        <v>78300000</v>
      </c>
      <c r="E48" s="103">
        <v>78300000</v>
      </c>
      <c r="F48" s="254">
        <v>0</v>
      </c>
      <c r="G48" s="263">
        <f t="shared" si="1"/>
        <v>1</v>
      </c>
      <c r="H48" s="92"/>
    </row>
    <row r="49" spans="1:10" ht="31.5" hidden="1" customHeight="1">
      <c r="A49" s="92"/>
      <c r="B49" s="115"/>
      <c r="C49" s="202" t="s">
        <v>219</v>
      </c>
      <c r="D49" s="103">
        <v>34823000</v>
      </c>
      <c r="E49" s="103">
        <v>34823000</v>
      </c>
      <c r="F49" s="254">
        <v>0</v>
      </c>
      <c r="G49" s="263">
        <f t="shared" si="1"/>
        <v>1</v>
      </c>
      <c r="H49" s="92"/>
    </row>
    <row r="50" spans="1:10">
      <c r="A50" s="90">
        <v>2</v>
      </c>
      <c r="B50" s="29" t="s">
        <v>13</v>
      </c>
      <c r="C50" s="211"/>
      <c r="D50" s="256">
        <v>1105593777</v>
      </c>
      <c r="E50" s="256">
        <v>730840777</v>
      </c>
      <c r="F50" s="256">
        <v>374753000</v>
      </c>
      <c r="G50" s="264">
        <f t="shared" si="1"/>
        <v>0.66103915579474182</v>
      </c>
      <c r="H50" s="92"/>
    </row>
    <row r="51" spans="1:10" s="37" customFormat="1">
      <c r="A51" s="94" t="s">
        <v>24</v>
      </c>
      <c r="B51" s="116" t="s">
        <v>5</v>
      </c>
      <c r="C51" s="212"/>
      <c r="D51" s="97">
        <v>1105593777</v>
      </c>
      <c r="E51" s="97">
        <v>730840777</v>
      </c>
      <c r="F51" s="97">
        <v>374753000</v>
      </c>
      <c r="G51" s="266">
        <f t="shared" si="1"/>
        <v>0.66103915579474182</v>
      </c>
      <c r="H51" s="98"/>
      <c r="J51" s="261"/>
    </row>
    <row r="52" spans="1:10">
      <c r="A52" s="92" t="s">
        <v>130</v>
      </c>
      <c r="B52" s="106" t="s">
        <v>14</v>
      </c>
      <c r="C52" s="205"/>
      <c r="D52" s="124">
        <v>217656439</v>
      </c>
      <c r="E52" s="124">
        <v>217656439</v>
      </c>
      <c r="F52" s="124">
        <v>0</v>
      </c>
      <c r="G52" s="263">
        <f t="shared" si="1"/>
        <v>1</v>
      </c>
      <c r="H52" s="92"/>
    </row>
    <row r="53" spans="1:10" s="10" customFormat="1" ht="47.25">
      <c r="A53" s="104" t="s">
        <v>128</v>
      </c>
      <c r="B53" s="184" t="s">
        <v>16</v>
      </c>
      <c r="C53" s="202" t="s">
        <v>17</v>
      </c>
      <c r="D53" s="120">
        <v>136177000</v>
      </c>
      <c r="E53" s="120">
        <v>136177000</v>
      </c>
      <c r="F53" s="254">
        <v>0</v>
      </c>
      <c r="G53" s="263">
        <f t="shared" si="1"/>
        <v>1</v>
      </c>
      <c r="H53" s="104"/>
      <c r="J53" s="88"/>
    </row>
    <row r="54" spans="1:10" s="10" customFormat="1" ht="31.5">
      <c r="A54" s="104" t="s">
        <v>128</v>
      </c>
      <c r="B54" s="184" t="s">
        <v>19</v>
      </c>
      <c r="C54" s="213" t="s">
        <v>20</v>
      </c>
      <c r="D54" s="120">
        <v>81479439</v>
      </c>
      <c r="E54" s="120">
        <v>81479439</v>
      </c>
      <c r="F54" s="254">
        <v>0</v>
      </c>
      <c r="G54" s="263">
        <f t="shared" si="1"/>
        <v>1</v>
      </c>
      <c r="H54" s="104"/>
      <c r="J54" s="88"/>
    </row>
    <row r="55" spans="1:10" s="10" customFormat="1" ht="87.75" customHeight="1">
      <c r="A55" s="104"/>
      <c r="B55" s="1052"/>
      <c r="C55" s="214" t="s">
        <v>21</v>
      </c>
      <c r="D55" s="120">
        <v>49667654</v>
      </c>
      <c r="E55" s="120">
        <v>49667654</v>
      </c>
      <c r="F55" s="254">
        <v>0</v>
      </c>
      <c r="G55" s="263">
        <f t="shared" si="1"/>
        <v>1</v>
      </c>
      <c r="H55" s="104"/>
      <c r="J55" s="88"/>
    </row>
    <row r="56" spans="1:10" s="10" customFormat="1" ht="47.25">
      <c r="A56" s="104"/>
      <c r="B56" s="1052"/>
      <c r="C56" s="214" t="s">
        <v>22</v>
      </c>
      <c r="D56" s="120">
        <v>31811785</v>
      </c>
      <c r="E56" s="120">
        <v>31811785</v>
      </c>
      <c r="F56" s="254">
        <v>0</v>
      </c>
      <c r="G56" s="263">
        <f t="shared" si="1"/>
        <v>1</v>
      </c>
      <c r="H56" s="104"/>
      <c r="J56" s="88"/>
    </row>
    <row r="57" spans="1:10" ht="15.75" hidden="1" customHeight="1">
      <c r="A57" s="92" t="s">
        <v>131</v>
      </c>
      <c r="B57" s="119" t="s">
        <v>23</v>
      </c>
      <c r="C57" s="215"/>
      <c r="D57" s="252">
        <v>357358000</v>
      </c>
      <c r="E57" s="252">
        <v>357358000</v>
      </c>
      <c r="F57" s="252">
        <v>0</v>
      </c>
      <c r="G57" s="263">
        <f t="shared" si="1"/>
        <v>1</v>
      </c>
      <c r="H57" s="92"/>
    </row>
    <row r="58" spans="1:10" s="10" customFormat="1" ht="15.75" hidden="1" customHeight="1">
      <c r="A58" s="104" t="s">
        <v>128</v>
      </c>
      <c r="B58" s="184" t="s">
        <v>25</v>
      </c>
      <c r="C58" s="213" t="s">
        <v>20</v>
      </c>
      <c r="D58" s="120"/>
      <c r="E58" s="120"/>
      <c r="F58" s="254">
        <v>0</v>
      </c>
      <c r="G58" s="263"/>
      <c r="H58" s="104"/>
      <c r="J58" s="88"/>
    </row>
    <row r="59" spans="1:10" s="10" customFormat="1" ht="126" hidden="1" customHeight="1">
      <c r="A59" s="104"/>
      <c r="B59" s="184" t="s">
        <v>26</v>
      </c>
      <c r="C59" s="214" t="s">
        <v>27</v>
      </c>
      <c r="D59" s="120">
        <v>36442000</v>
      </c>
      <c r="E59" s="120">
        <v>36442000</v>
      </c>
      <c r="F59" s="254">
        <v>0</v>
      </c>
      <c r="G59" s="263">
        <f t="shared" si="1"/>
        <v>1</v>
      </c>
      <c r="H59" s="104"/>
      <c r="J59" s="88"/>
    </row>
    <row r="60" spans="1:10" s="10" customFormat="1" ht="47.25" hidden="1" customHeight="1">
      <c r="A60" s="104"/>
      <c r="B60" s="1052" t="s">
        <v>28</v>
      </c>
      <c r="C60" s="202" t="s">
        <v>29</v>
      </c>
      <c r="D60" s="120">
        <v>25411000</v>
      </c>
      <c r="E60" s="120">
        <v>25411000</v>
      </c>
      <c r="F60" s="254">
        <v>0</v>
      </c>
      <c r="G60" s="263">
        <f t="shared" si="1"/>
        <v>1</v>
      </c>
      <c r="H60" s="104"/>
      <c r="J60" s="88"/>
    </row>
    <row r="61" spans="1:10" s="10" customFormat="1" ht="63" hidden="1" customHeight="1">
      <c r="A61" s="104"/>
      <c r="B61" s="1052" t="s">
        <v>30</v>
      </c>
      <c r="C61" s="202" t="s">
        <v>29</v>
      </c>
      <c r="D61" s="120">
        <v>153620000</v>
      </c>
      <c r="E61" s="120">
        <v>153620000</v>
      </c>
      <c r="F61" s="254">
        <v>0</v>
      </c>
      <c r="G61" s="263">
        <f t="shared" si="1"/>
        <v>1</v>
      </c>
      <c r="H61" s="104"/>
      <c r="J61" s="88"/>
    </row>
    <row r="62" spans="1:10" s="10" customFormat="1" ht="135.75" hidden="1" customHeight="1">
      <c r="A62" s="104"/>
      <c r="B62" s="176" t="s">
        <v>31</v>
      </c>
      <c r="C62" s="202" t="s">
        <v>32</v>
      </c>
      <c r="D62" s="120">
        <v>61440000</v>
      </c>
      <c r="E62" s="120">
        <v>61440000</v>
      </c>
      <c r="F62" s="254">
        <v>0</v>
      </c>
      <c r="G62" s="263">
        <f t="shared" si="1"/>
        <v>1</v>
      </c>
      <c r="H62" s="104"/>
      <c r="J62" s="88"/>
    </row>
    <row r="63" spans="1:10" s="10" customFormat="1" ht="85.5" hidden="1" customHeight="1">
      <c r="A63" s="104"/>
      <c r="B63" s="1052" t="s">
        <v>33</v>
      </c>
      <c r="C63" s="202" t="s">
        <v>34</v>
      </c>
      <c r="D63" s="120">
        <v>80445000</v>
      </c>
      <c r="E63" s="120">
        <v>80445000</v>
      </c>
      <c r="F63" s="254">
        <v>0</v>
      </c>
      <c r="G63" s="263">
        <f t="shared" si="1"/>
        <v>1</v>
      </c>
      <c r="H63" s="104"/>
      <c r="J63" s="88"/>
    </row>
    <row r="64" spans="1:10">
      <c r="A64" s="92" t="s">
        <v>132</v>
      </c>
      <c r="B64" s="106" t="s">
        <v>35</v>
      </c>
      <c r="C64" s="205"/>
      <c r="D64" s="124">
        <v>374753000</v>
      </c>
      <c r="E64" s="124">
        <v>0</v>
      </c>
      <c r="F64" s="124">
        <v>374753000</v>
      </c>
      <c r="G64" s="263">
        <f t="shared" si="1"/>
        <v>0</v>
      </c>
      <c r="H64" s="92"/>
    </row>
    <row r="65" spans="1:10" s="10" customFormat="1">
      <c r="A65" s="104" t="s">
        <v>128</v>
      </c>
      <c r="B65" s="125" t="s">
        <v>25</v>
      </c>
      <c r="C65" s="202" t="s">
        <v>20</v>
      </c>
      <c r="D65" s="198"/>
      <c r="E65" s="198"/>
      <c r="F65" s="254">
        <v>0</v>
      </c>
      <c r="G65" s="263"/>
      <c r="H65" s="104"/>
      <c r="J65" s="88"/>
    </row>
    <row r="66" spans="1:10" s="10" customFormat="1" ht="103.5" customHeight="1">
      <c r="A66" s="104"/>
      <c r="B66" s="125"/>
      <c r="C66" s="202" t="s">
        <v>37</v>
      </c>
      <c r="D66" s="126">
        <v>50000000</v>
      </c>
      <c r="E66" s="126"/>
      <c r="F66" s="254">
        <v>50000000</v>
      </c>
      <c r="G66" s="263">
        <f t="shared" si="1"/>
        <v>0</v>
      </c>
      <c r="H66" s="104"/>
      <c r="J66" s="88"/>
    </row>
    <row r="67" spans="1:10" s="10" customFormat="1" ht="178.5" customHeight="1">
      <c r="A67" s="104"/>
      <c r="B67" s="125"/>
      <c r="C67" s="216" t="s">
        <v>38</v>
      </c>
      <c r="D67" s="127">
        <v>324753000</v>
      </c>
      <c r="E67" s="127"/>
      <c r="F67" s="254">
        <v>324753000</v>
      </c>
      <c r="G67" s="263">
        <f t="shared" si="1"/>
        <v>0</v>
      </c>
      <c r="H67" s="104"/>
      <c r="J67" s="88"/>
    </row>
    <row r="68" spans="1:10" ht="15.75" hidden="1" customHeight="1">
      <c r="A68" s="23" t="s">
        <v>133</v>
      </c>
      <c r="B68" s="24" t="s">
        <v>39</v>
      </c>
      <c r="C68" s="205"/>
      <c r="D68" s="107">
        <v>106832338</v>
      </c>
      <c r="E68" s="107">
        <v>106832338</v>
      </c>
      <c r="F68" s="107">
        <v>0</v>
      </c>
      <c r="G68" s="263">
        <f t="shared" si="1"/>
        <v>1</v>
      </c>
      <c r="H68" s="92"/>
    </row>
    <row r="69" spans="1:10" s="10" customFormat="1" ht="99.75" hidden="1" customHeight="1">
      <c r="A69" s="175" t="s">
        <v>128</v>
      </c>
      <c r="B69" s="176" t="s">
        <v>40</v>
      </c>
      <c r="C69" s="217" t="s">
        <v>41</v>
      </c>
      <c r="D69" s="120">
        <v>14444338</v>
      </c>
      <c r="E69" s="120">
        <v>14444338</v>
      </c>
      <c r="F69" s="254">
        <v>0</v>
      </c>
      <c r="G69" s="263">
        <f t="shared" si="1"/>
        <v>1</v>
      </c>
      <c r="H69" s="104"/>
      <c r="J69" s="88"/>
    </row>
    <row r="70" spans="1:10" s="15" customFormat="1" ht="63" hidden="1" customHeight="1">
      <c r="A70" s="175" t="s">
        <v>128</v>
      </c>
      <c r="B70" s="176" t="s">
        <v>42</v>
      </c>
      <c r="C70" s="217" t="s">
        <v>43</v>
      </c>
      <c r="D70" s="120">
        <v>92388000</v>
      </c>
      <c r="E70" s="120">
        <v>92388000</v>
      </c>
      <c r="F70" s="254">
        <v>0</v>
      </c>
      <c r="G70" s="263">
        <f t="shared" si="1"/>
        <v>1</v>
      </c>
      <c r="H70" s="164"/>
      <c r="J70" s="257"/>
    </row>
    <row r="71" spans="1:10">
      <c r="A71" s="129" t="s">
        <v>134</v>
      </c>
      <c r="B71" s="123" t="s">
        <v>44</v>
      </c>
      <c r="C71" s="218"/>
      <c r="D71" s="252">
        <v>48994000</v>
      </c>
      <c r="E71" s="252">
        <v>48994000</v>
      </c>
      <c r="F71" s="252">
        <v>0</v>
      </c>
      <c r="G71" s="263">
        <f t="shared" si="1"/>
        <v>1</v>
      </c>
      <c r="H71" s="134"/>
    </row>
    <row r="72" spans="1:10" s="15" customFormat="1">
      <c r="A72" s="175" t="s">
        <v>128</v>
      </c>
      <c r="B72" s="176" t="s">
        <v>42</v>
      </c>
      <c r="C72" s="217" t="s">
        <v>45</v>
      </c>
      <c r="D72" s="120">
        <v>48994000</v>
      </c>
      <c r="E72" s="120">
        <v>48994000</v>
      </c>
      <c r="F72" s="254">
        <v>0</v>
      </c>
      <c r="G72" s="263">
        <f t="shared" si="1"/>
        <v>1</v>
      </c>
      <c r="H72" s="164"/>
      <c r="J72" s="257"/>
    </row>
    <row r="73" spans="1:10" s="12" customFormat="1">
      <c r="A73" s="117" t="s">
        <v>145</v>
      </c>
      <c r="B73" s="131" t="s">
        <v>47</v>
      </c>
      <c r="C73" s="219"/>
      <c r="D73" s="256">
        <v>153642355501</v>
      </c>
      <c r="E73" s="256">
        <v>153641919501</v>
      </c>
      <c r="F73" s="256">
        <v>436000</v>
      </c>
      <c r="G73" s="264">
        <f t="shared" ref="G73:G136" si="2">E73/D73</f>
        <v>0.999997162240851</v>
      </c>
      <c r="H73" s="130"/>
      <c r="J73" s="259"/>
    </row>
    <row r="74" spans="1:10" s="12" customFormat="1">
      <c r="A74" s="117">
        <v>1</v>
      </c>
      <c r="B74" s="131" t="s">
        <v>8</v>
      </c>
      <c r="C74" s="219"/>
      <c r="D74" s="256">
        <v>44555585835</v>
      </c>
      <c r="E74" s="256">
        <v>44555585835</v>
      </c>
      <c r="F74" s="256">
        <v>0</v>
      </c>
      <c r="G74" s="264">
        <f t="shared" si="2"/>
        <v>1</v>
      </c>
      <c r="H74" s="130"/>
      <c r="J74" s="259"/>
    </row>
    <row r="75" spans="1:10" s="89" customFormat="1" ht="15.75" hidden="1" customHeight="1">
      <c r="A75" s="94" t="s">
        <v>15</v>
      </c>
      <c r="B75" s="95" t="s">
        <v>5</v>
      </c>
      <c r="C75" s="220"/>
      <c r="D75" s="97">
        <v>44555585835</v>
      </c>
      <c r="E75" s="97">
        <v>44555585835</v>
      </c>
      <c r="F75" s="97">
        <v>0</v>
      </c>
      <c r="G75" s="266">
        <f t="shared" si="2"/>
        <v>1</v>
      </c>
      <c r="H75" s="197"/>
      <c r="J75" s="262"/>
    </row>
    <row r="76" spans="1:10" s="12" customFormat="1" ht="15.75" hidden="1" customHeight="1">
      <c r="A76" s="117" t="s">
        <v>135</v>
      </c>
      <c r="B76" s="118" t="s">
        <v>48</v>
      </c>
      <c r="C76" s="219"/>
      <c r="D76" s="256">
        <v>44179651835</v>
      </c>
      <c r="E76" s="256">
        <v>44179651835</v>
      </c>
      <c r="F76" s="256">
        <v>0</v>
      </c>
      <c r="G76" s="264">
        <f t="shared" si="2"/>
        <v>1</v>
      </c>
      <c r="H76" s="130"/>
      <c r="J76" s="259"/>
    </row>
    <row r="77" spans="1:10" ht="15.75" hidden="1" customHeight="1">
      <c r="A77" s="92" t="s">
        <v>130</v>
      </c>
      <c r="B77" s="106" t="s">
        <v>49</v>
      </c>
      <c r="C77" s="205"/>
      <c r="D77" s="133">
        <v>44179651835</v>
      </c>
      <c r="E77" s="133">
        <v>44179651835</v>
      </c>
      <c r="F77" s="133">
        <v>0</v>
      </c>
      <c r="G77" s="263">
        <f t="shared" si="2"/>
        <v>1</v>
      </c>
      <c r="H77" s="134"/>
    </row>
    <row r="78" spans="1:10" s="15" customFormat="1" ht="63" hidden="1" customHeight="1">
      <c r="A78" s="140"/>
      <c r="B78" s="165"/>
      <c r="C78" s="202" t="s">
        <v>136</v>
      </c>
      <c r="D78" s="255">
        <v>26531000000</v>
      </c>
      <c r="E78" s="255">
        <v>26531000000</v>
      </c>
      <c r="F78" s="254">
        <v>0</v>
      </c>
      <c r="G78" s="263">
        <f t="shared" si="2"/>
        <v>1</v>
      </c>
      <c r="H78" s="164"/>
      <c r="I78" s="30"/>
      <c r="J78" s="257"/>
    </row>
    <row r="79" spans="1:10" s="15" customFormat="1" ht="85.5" hidden="1" customHeight="1">
      <c r="A79" s="140"/>
      <c r="B79" s="166"/>
      <c r="C79" s="167" t="s">
        <v>51</v>
      </c>
      <c r="D79" s="168">
        <v>17648651835</v>
      </c>
      <c r="E79" s="168">
        <v>17648651835</v>
      </c>
      <c r="F79" s="254">
        <v>0</v>
      </c>
      <c r="G79" s="263">
        <f t="shared" si="2"/>
        <v>1</v>
      </c>
      <c r="H79" s="169"/>
      <c r="I79" s="30"/>
      <c r="J79" s="257"/>
    </row>
    <row r="80" spans="1:10" s="12" customFormat="1" ht="15.75" hidden="1" customHeight="1">
      <c r="A80" s="117" t="s">
        <v>139</v>
      </c>
      <c r="B80" s="118" t="s">
        <v>52</v>
      </c>
      <c r="C80" s="221"/>
      <c r="D80" s="256">
        <v>375934000</v>
      </c>
      <c r="E80" s="256">
        <v>375934000</v>
      </c>
      <c r="F80" s="256">
        <v>0</v>
      </c>
      <c r="G80" s="263">
        <f t="shared" si="2"/>
        <v>1</v>
      </c>
      <c r="H80" s="130"/>
      <c r="J80" s="259"/>
    </row>
    <row r="81" spans="1:10" ht="15.75" hidden="1" customHeight="1">
      <c r="A81" s="92" t="s">
        <v>130</v>
      </c>
      <c r="B81" s="24" t="s">
        <v>56</v>
      </c>
      <c r="C81" s="221"/>
      <c r="D81" s="254">
        <v>314000000</v>
      </c>
      <c r="E81" s="254">
        <v>314000000</v>
      </c>
      <c r="F81" s="254">
        <v>0</v>
      </c>
      <c r="G81" s="263">
        <f t="shared" si="2"/>
        <v>1</v>
      </c>
      <c r="H81" s="134"/>
    </row>
    <row r="82" spans="1:10" s="15" customFormat="1" ht="63" hidden="1" customHeight="1">
      <c r="A82" s="140"/>
      <c r="B82" s="170" t="s">
        <v>57</v>
      </c>
      <c r="C82" s="202" t="s">
        <v>140</v>
      </c>
      <c r="D82" s="255">
        <v>314000000</v>
      </c>
      <c r="E82" s="255">
        <v>314000000</v>
      </c>
      <c r="F82" s="254">
        <v>0</v>
      </c>
      <c r="G82" s="263">
        <f t="shared" si="2"/>
        <v>1</v>
      </c>
      <c r="H82" s="164"/>
      <c r="J82" s="257"/>
    </row>
    <row r="83" spans="1:10" ht="15.75" hidden="1" customHeight="1">
      <c r="A83" s="92" t="s">
        <v>131</v>
      </c>
      <c r="B83" s="106" t="s">
        <v>39</v>
      </c>
      <c r="C83" s="205"/>
      <c r="D83" s="254">
        <v>61934000</v>
      </c>
      <c r="E83" s="254">
        <v>61934000</v>
      </c>
      <c r="F83" s="254">
        <v>0</v>
      </c>
      <c r="G83" s="263">
        <f t="shared" si="2"/>
        <v>1</v>
      </c>
      <c r="H83" s="134"/>
    </row>
    <row r="84" spans="1:10" s="15" customFormat="1" ht="31.5" hidden="1" customHeight="1">
      <c r="A84" s="140"/>
      <c r="B84" s="1052" t="s">
        <v>57</v>
      </c>
      <c r="C84" s="202" t="s">
        <v>62</v>
      </c>
      <c r="D84" s="255">
        <v>61934000</v>
      </c>
      <c r="E84" s="255">
        <v>61934000</v>
      </c>
      <c r="F84" s="254">
        <v>0</v>
      </c>
      <c r="G84" s="263">
        <f t="shared" si="2"/>
        <v>1</v>
      </c>
      <c r="H84" s="164"/>
      <c r="I84" s="30"/>
      <c r="J84" s="257"/>
    </row>
    <row r="85" spans="1:10" s="12" customFormat="1">
      <c r="A85" s="117">
        <v>2</v>
      </c>
      <c r="B85" s="131" t="s">
        <v>13</v>
      </c>
      <c r="C85" s="219"/>
      <c r="D85" s="256">
        <v>109086769666</v>
      </c>
      <c r="E85" s="256">
        <v>109086333666</v>
      </c>
      <c r="F85" s="256">
        <v>436000</v>
      </c>
      <c r="G85" s="264">
        <f t="shared" si="2"/>
        <v>0.99999600318167514</v>
      </c>
      <c r="H85" s="130"/>
      <c r="J85" s="259"/>
    </row>
    <row r="86" spans="1:10" s="89" customFormat="1">
      <c r="A86" s="94" t="s">
        <v>24</v>
      </c>
      <c r="B86" s="95" t="s">
        <v>5</v>
      </c>
      <c r="C86" s="220"/>
      <c r="D86" s="196">
        <v>104823180666</v>
      </c>
      <c r="E86" s="196">
        <v>104823180666</v>
      </c>
      <c r="F86" s="196">
        <v>0</v>
      </c>
      <c r="G86" s="266">
        <f t="shared" si="2"/>
        <v>1</v>
      </c>
      <c r="H86" s="197"/>
      <c r="J86" s="262"/>
    </row>
    <row r="87" spans="1:10" s="12" customFormat="1" ht="15.75" hidden="1" customHeight="1">
      <c r="A87" s="117" t="s">
        <v>111</v>
      </c>
      <c r="B87" s="118" t="s">
        <v>48</v>
      </c>
      <c r="C87" s="219"/>
      <c r="D87" s="256">
        <v>88989932314</v>
      </c>
      <c r="E87" s="256">
        <v>88989932314</v>
      </c>
      <c r="F87" s="256">
        <v>0</v>
      </c>
      <c r="G87" s="264">
        <f t="shared" si="2"/>
        <v>1</v>
      </c>
      <c r="H87" s="117"/>
      <c r="J87" s="259"/>
    </row>
    <row r="88" spans="1:10" ht="15.75" hidden="1" customHeight="1">
      <c r="A88" s="92" t="s">
        <v>130</v>
      </c>
      <c r="B88" s="106" t="s">
        <v>49</v>
      </c>
      <c r="C88" s="205"/>
      <c r="D88" s="254">
        <v>88989932314</v>
      </c>
      <c r="E88" s="254">
        <v>88989932314</v>
      </c>
      <c r="F88" s="254">
        <v>0</v>
      </c>
      <c r="G88" s="263">
        <f t="shared" si="2"/>
        <v>1</v>
      </c>
      <c r="H88" s="92"/>
    </row>
    <row r="89" spans="1:10" s="15" customFormat="1" ht="47.25" hidden="1" customHeight="1">
      <c r="A89" s="140"/>
      <c r="B89" s="165"/>
      <c r="C89" s="202" t="s">
        <v>137</v>
      </c>
      <c r="D89" s="255">
        <v>2939744851</v>
      </c>
      <c r="E89" s="255">
        <v>2939744851</v>
      </c>
      <c r="F89" s="254">
        <v>0</v>
      </c>
      <c r="G89" s="263">
        <f t="shared" si="2"/>
        <v>1</v>
      </c>
      <c r="H89" s="164"/>
      <c r="I89" s="30"/>
      <c r="J89" s="257"/>
    </row>
    <row r="90" spans="1:10" s="15" customFormat="1" ht="63" hidden="1" customHeight="1">
      <c r="A90" s="140"/>
      <c r="B90" s="165"/>
      <c r="C90" s="222" t="s">
        <v>138</v>
      </c>
      <c r="D90" s="255">
        <v>22950187463</v>
      </c>
      <c r="E90" s="255">
        <v>22950187463</v>
      </c>
      <c r="F90" s="254">
        <v>0</v>
      </c>
      <c r="G90" s="263">
        <f t="shared" si="2"/>
        <v>1</v>
      </c>
      <c r="H90" s="164"/>
      <c r="I90" s="30"/>
      <c r="J90" s="257"/>
    </row>
    <row r="91" spans="1:10" s="15" customFormat="1" ht="94.5" hidden="1" customHeight="1">
      <c r="A91" s="140"/>
      <c r="B91" s="171"/>
      <c r="C91" s="222" t="s">
        <v>50</v>
      </c>
      <c r="D91" s="255">
        <v>63100000000</v>
      </c>
      <c r="E91" s="255">
        <v>63100000000</v>
      </c>
      <c r="F91" s="254">
        <v>0</v>
      </c>
      <c r="G91" s="263">
        <f t="shared" si="2"/>
        <v>1</v>
      </c>
      <c r="H91" s="169"/>
      <c r="I91" s="30"/>
      <c r="J91" s="257"/>
    </row>
    <row r="92" spans="1:10" ht="15.75" hidden="1" customHeight="1">
      <c r="A92" s="117" t="s">
        <v>115</v>
      </c>
      <c r="B92" s="118" t="s">
        <v>52</v>
      </c>
      <c r="C92" s="221"/>
      <c r="D92" s="128">
        <v>15238127352</v>
      </c>
      <c r="E92" s="128">
        <v>15238127352</v>
      </c>
      <c r="F92" s="128">
        <v>0</v>
      </c>
      <c r="G92" s="264">
        <f t="shared" si="2"/>
        <v>1</v>
      </c>
      <c r="H92" s="134"/>
      <c r="I92" s="30"/>
    </row>
    <row r="93" spans="1:10" ht="15.75" hidden="1" customHeight="1">
      <c r="A93" s="92" t="s">
        <v>130</v>
      </c>
      <c r="B93" s="147" t="s">
        <v>53</v>
      </c>
      <c r="C93" s="221"/>
      <c r="D93" s="133">
        <v>7055932722</v>
      </c>
      <c r="E93" s="133">
        <v>7055932722</v>
      </c>
      <c r="F93" s="133">
        <v>0</v>
      </c>
      <c r="G93" s="263">
        <f t="shared" si="2"/>
        <v>1</v>
      </c>
      <c r="H93" s="134"/>
    </row>
    <row r="94" spans="1:10" s="15" customFormat="1" ht="78.75" hidden="1" customHeight="1">
      <c r="A94" s="104" t="s">
        <v>128</v>
      </c>
      <c r="B94" s="172" t="s">
        <v>54</v>
      </c>
      <c r="C94" s="223" t="s">
        <v>55</v>
      </c>
      <c r="D94" s="173">
        <v>7055932722</v>
      </c>
      <c r="E94" s="173">
        <v>7055932722</v>
      </c>
      <c r="F94" s="254">
        <v>0</v>
      </c>
      <c r="G94" s="263">
        <f t="shared" si="2"/>
        <v>1</v>
      </c>
      <c r="H94" s="169"/>
      <c r="I94" s="30"/>
      <c r="J94" s="257"/>
    </row>
    <row r="95" spans="1:10" ht="15.75" hidden="1" customHeight="1">
      <c r="A95" s="92" t="s">
        <v>131</v>
      </c>
      <c r="B95" s="24" t="s">
        <v>56</v>
      </c>
      <c r="C95" s="205"/>
      <c r="D95" s="107">
        <v>4516303102</v>
      </c>
      <c r="E95" s="107">
        <v>4516303102</v>
      </c>
      <c r="F95" s="107">
        <v>0</v>
      </c>
      <c r="G95" s="263">
        <f t="shared" si="2"/>
        <v>1</v>
      </c>
      <c r="H95" s="134"/>
      <c r="I95" s="30"/>
    </row>
    <row r="96" spans="1:10" s="15" customFormat="1" ht="15.75" hidden="1" customHeight="1">
      <c r="A96" s="140" t="s">
        <v>128</v>
      </c>
      <c r="B96" s="26" t="s">
        <v>57</v>
      </c>
      <c r="C96" s="224"/>
      <c r="D96" s="141">
        <v>4441700000</v>
      </c>
      <c r="E96" s="141">
        <v>4441700000</v>
      </c>
      <c r="F96" s="141">
        <v>0</v>
      </c>
      <c r="G96" s="263">
        <f t="shared" si="2"/>
        <v>1</v>
      </c>
      <c r="H96" s="169"/>
      <c r="I96" s="30"/>
      <c r="J96" s="257"/>
    </row>
    <row r="97" spans="1:10" s="15" customFormat="1" ht="258.75" hidden="1" customHeight="1">
      <c r="A97" s="104"/>
      <c r="B97" s="172"/>
      <c r="C97" s="202" t="s">
        <v>141</v>
      </c>
      <c r="D97" s="141">
        <v>3828700000</v>
      </c>
      <c r="E97" s="141">
        <v>3828700000</v>
      </c>
      <c r="F97" s="254">
        <v>0</v>
      </c>
      <c r="G97" s="263">
        <f t="shared" si="2"/>
        <v>1</v>
      </c>
      <c r="H97" s="169"/>
      <c r="I97" s="30"/>
      <c r="J97" s="257"/>
    </row>
    <row r="98" spans="1:10" s="15" customFormat="1" ht="63" hidden="1" customHeight="1">
      <c r="A98" s="104"/>
      <c r="B98" s="172"/>
      <c r="C98" s="202" t="s">
        <v>58</v>
      </c>
      <c r="D98" s="255">
        <v>613000000</v>
      </c>
      <c r="E98" s="255">
        <v>613000000</v>
      </c>
      <c r="F98" s="254">
        <v>0</v>
      </c>
      <c r="G98" s="263">
        <f t="shared" si="2"/>
        <v>1</v>
      </c>
      <c r="H98" s="169"/>
      <c r="I98" s="30"/>
      <c r="J98" s="257"/>
    </row>
    <row r="99" spans="1:10" s="15" customFormat="1" ht="31.5" hidden="1" customHeight="1">
      <c r="A99" s="104" t="s">
        <v>128</v>
      </c>
      <c r="B99" s="1052" t="s">
        <v>60</v>
      </c>
      <c r="C99" s="202" t="s">
        <v>61</v>
      </c>
      <c r="D99" s="255">
        <v>74603102</v>
      </c>
      <c r="E99" s="255">
        <v>74603102</v>
      </c>
      <c r="F99" s="254">
        <v>0</v>
      </c>
      <c r="G99" s="263">
        <f t="shared" si="2"/>
        <v>1</v>
      </c>
      <c r="H99" s="169"/>
      <c r="I99" s="30"/>
      <c r="J99" s="257"/>
    </row>
    <row r="100" spans="1:10" ht="15.75" hidden="1" customHeight="1">
      <c r="A100" s="92" t="s">
        <v>132</v>
      </c>
      <c r="B100" s="106" t="s">
        <v>39</v>
      </c>
      <c r="C100" s="205"/>
      <c r="D100" s="254">
        <v>2416670028</v>
      </c>
      <c r="E100" s="254">
        <v>2416670028</v>
      </c>
      <c r="F100" s="254">
        <v>0</v>
      </c>
      <c r="G100" s="263">
        <f t="shared" si="2"/>
        <v>1</v>
      </c>
      <c r="H100" s="134"/>
      <c r="I100" s="30"/>
    </row>
    <row r="101" spans="1:10" s="15" customFormat="1" ht="31.5" hidden="1" customHeight="1">
      <c r="A101" s="140"/>
      <c r="B101" s="1052" t="s">
        <v>57</v>
      </c>
      <c r="C101" s="202" t="s">
        <v>62</v>
      </c>
      <c r="D101" s="255">
        <v>2416670028</v>
      </c>
      <c r="E101" s="255">
        <v>2416670028</v>
      </c>
      <c r="F101" s="254">
        <v>0</v>
      </c>
      <c r="G101" s="263">
        <f t="shared" si="2"/>
        <v>1</v>
      </c>
      <c r="H101" s="169"/>
      <c r="I101" s="30"/>
      <c r="J101" s="257"/>
    </row>
    <row r="102" spans="1:10" ht="15.75" hidden="1" customHeight="1">
      <c r="A102" s="92" t="s">
        <v>133</v>
      </c>
      <c r="B102" s="106" t="s">
        <v>63</v>
      </c>
      <c r="C102" s="205"/>
      <c r="D102" s="254">
        <v>1249221500</v>
      </c>
      <c r="E102" s="254">
        <v>1249221500</v>
      </c>
      <c r="F102" s="254">
        <v>0</v>
      </c>
      <c r="G102" s="263">
        <f t="shared" si="2"/>
        <v>1</v>
      </c>
      <c r="H102" s="134"/>
    </row>
    <row r="103" spans="1:10" s="15" customFormat="1" ht="132.75" hidden="1" customHeight="1">
      <c r="A103" s="140"/>
      <c r="B103" s="1052" t="s">
        <v>57</v>
      </c>
      <c r="C103" s="202" t="s">
        <v>64</v>
      </c>
      <c r="D103" s="255">
        <v>1249221500</v>
      </c>
      <c r="E103" s="255">
        <v>1249221500</v>
      </c>
      <c r="F103" s="254">
        <v>0</v>
      </c>
      <c r="G103" s="263">
        <f t="shared" si="2"/>
        <v>1</v>
      </c>
      <c r="H103" s="164"/>
      <c r="I103" s="30"/>
      <c r="J103" s="257"/>
    </row>
    <row r="104" spans="1:10" ht="15.75" hidden="1" customHeight="1">
      <c r="A104" s="117" t="s">
        <v>142</v>
      </c>
      <c r="B104" s="118" t="s">
        <v>65</v>
      </c>
      <c r="C104" s="205"/>
      <c r="D104" s="122">
        <v>561427000</v>
      </c>
      <c r="E104" s="122">
        <v>561427000</v>
      </c>
      <c r="F104" s="122">
        <v>0</v>
      </c>
      <c r="G104" s="263">
        <f t="shared" si="2"/>
        <v>1</v>
      </c>
      <c r="H104" s="134"/>
    </row>
    <row r="105" spans="1:10" ht="15.75" hidden="1" customHeight="1">
      <c r="A105" s="92" t="s">
        <v>130</v>
      </c>
      <c r="B105" s="106" t="s">
        <v>56</v>
      </c>
      <c r="C105" s="205"/>
      <c r="D105" s="252">
        <v>561427000</v>
      </c>
      <c r="E105" s="252">
        <v>561427000</v>
      </c>
      <c r="F105" s="252">
        <v>0</v>
      </c>
      <c r="G105" s="263">
        <f t="shared" si="2"/>
        <v>1</v>
      </c>
      <c r="H105" s="134"/>
    </row>
    <row r="106" spans="1:10" s="15" customFormat="1" ht="37.5" hidden="1" customHeight="1">
      <c r="A106" s="140" t="s">
        <v>128</v>
      </c>
      <c r="B106" s="1052" t="s">
        <v>66</v>
      </c>
      <c r="C106" s="202" t="s">
        <v>67</v>
      </c>
      <c r="D106" s="174">
        <v>561427000</v>
      </c>
      <c r="E106" s="174">
        <v>561427000</v>
      </c>
      <c r="F106" s="254">
        <v>0</v>
      </c>
      <c r="G106" s="263">
        <f t="shared" si="2"/>
        <v>1</v>
      </c>
      <c r="H106" s="169"/>
      <c r="J106" s="257"/>
    </row>
    <row r="107" spans="1:10" s="12" customFormat="1">
      <c r="A107" s="117" t="s">
        <v>143</v>
      </c>
      <c r="B107" s="118" t="s">
        <v>68</v>
      </c>
      <c r="C107" s="218"/>
      <c r="D107" s="137">
        <v>33694000</v>
      </c>
      <c r="E107" s="137">
        <v>33694000</v>
      </c>
      <c r="F107" s="137">
        <v>0</v>
      </c>
      <c r="G107" s="263">
        <f t="shared" si="2"/>
        <v>1</v>
      </c>
      <c r="H107" s="134"/>
      <c r="J107" s="259"/>
    </row>
    <row r="108" spans="1:10">
      <c r="A108" s="129" t="s">
        <v>130</v>
      </c>
      <c r="B108" s="123" t="s">
        <v>44</v>
      </c>
      <c r="C108" s="218"/>
      <c r="D108" s="136">
        <v>33694000</v>
      </c>
      <c r="E108" s="136">
        <v>33694000</v>
      </c>
      <c r="F108" s="136">
        <v>0</v>
      </c>
      <c r="G108" s="263">
        <f t="shared" si="2"/>
        <v>1</v>
      </c>
      <c r="H108" s="134"/>
    </row>
    <row r="109" spans="1:10" s="15" customFormat="1" ht="76.5" customHeight="1">
      <c r="A109" s="175"/>
      <c r="B109" s="176" t="s">
        <v>69</v>
      </c>
      <c r="C109" s="217" t="s">
        <v>70</v>
      </c>
      <c r="D109" s="255">
        <v>33694000</v>
      </c>
      <c r="E109" s="255">
        <v>33694000</v>
      </c>
      <c r="F109" s="254">
        <v>0</v>
      </c>
      <c r="G109" s="263">
        <f t="shared" si="2"/>
        <v>1</v>
      </c>
      <c r="H109" s="169"/>
      <c r="J109" s="257"/>
    </row>
    <row r="110" spans="1:10" s="89" customFormat="1">
      <c r="A110" s="177" t="s">
        <v>59</v>
      </c>
      <c r="B110" s="108" t="s">
        <v>92</v>
      </c>
      <c r="C110" s="225"/>
      <c r="D110" s="178">
        <v>3306959000</v>
      </c>
      <c r="E110" s="178">
        <v>3306959000</v>
      </c>
      <c r="F110" s="178">
        <v>0</v>
      </c>
      <c r="G110" s="266">
        <f t="shared" si="2"/>
        <v>1</v>
      </c>
      <c r="H110" s="179"/>
      <c r="J110" s="262"/>
    </row>
    <row r="111" spans="1:10" s="12" customFormat="1">
      <c r="A111" s="117"/>
      <c r="B111" s="138" t="s">
        <v>93</v>
      </c>
      <c r="C111" s="226"/>
      <c r="D111" s="128"/>
      <c r="E111" s="128"/>
      <c r="F111" s="254">
        <v>0</v>
      </c>
      <c r="G111" s="263"/>
      <c r="H111" s="134"/>
      <c r="J111" s="259"/>
    </row>
    <row r="112" spans="1:10" s="12" customFormat="1" ht="116.25" customHeight="1">
      <c r="A112" s="139" t="s">
        <v>130</v>
      </c>
      <c r="B112" s="111" t="s">
        <v>94</v>
      </c>
      <c r="C112" s="207" t="s">
        <v>95</v>
      </c>
      <c r="D112" s="107">
        <v>2477959000</v>
      </c>
      <c r="E112" s="141">
        <v>2477959000</v>
      </c>
      <c r="F112" s="254">
        <v>0</v>
      </c>
      <c r="G112" s="263">
        <f t="shared" si="2"/>
        <v>1</v>
      </c>
      <c r="H112" s="1064"/>
      <c r="J112" s="259"/>
    </row>
    <row r="113" spans="1:10" s="12" customFormat="1" ht="115.5" customHeight="1">
      <c r="A113" s="92" t="s">
        <v>131</v>
      </c>
      <c r="B113" s="111" t="s">
        <v>96</v>
      </c>
      <c r="C113" s="207" t="s">
        <v>97</v>
      </c>
      <c r="D113" s="107">
        <v>829000000</v>
      </c>
      <c r="E113" s="107">
        <v>829000000</v>
      </c>
      <c r="F113" s="254">
        <v>0</v>
      </c>
      <c r="G113" s="263">
        <f t="shared" si="2"/>
        <v>1</v>
      </c>
      <c r="H113" s="1065"/>
      <c r="J113" s="259"/>
    </row>
    <row r="114" spans="1:10" s="89" customFormat="1">
      <c r="A114" s="177" t="s">
        <v>129</v>
      </c>
      <c r="B114" s="108" t="s">
        <v>98</v>
      </c>
      <c r="C114" s="227"/>
      <c r="D114" s="178">
        <v>956630000</v>
      </c>
      <c r="E114" s="178">
        <v>956194000</v>
      </c>
      <c r="F114" s="178">
        <v>436000</v>
      </c>
      <c r="G114" s="266">
        <f t="shared" si="2"/>
        <v>0.99954423340267395</v>
      </c>
      <c r="H114" s="179"/>
      <c r="J114" s="262"/>
    </row>
    <row r="115" spans="1:10" s="12" customFormat="1">
      <c r="A115" s="92" t="s">
        <v>130</v>
      </c>
      <c r="B115" s="106" t="s">
        <v>99</v>
      </c>
      <c r="C115" s="205"/>
      <c r="D115" s="107">
        <v>704300000</v>
      </c>
      <c r="E115" s="107">
        <v>704300000</v>
      </c>
      <c r="F115" s="107">
        <v>0</v>
      </c>
      <c r="G115" s="263">
        <f t="shared" si="2"/>
        <v>1</v>
      </c>
      <c r="H115" s="134"/>
      <c r="J115" s="259"/>
    </row>
    <row r="116" spans="1:10" s="12" customFormat="1" ht="47.25">
      <c r="A116" s="140"/>
      <c r="B116" s="1052" t="s">
        <v>57</v>
      </c>
      <c r="C116" s="228" t="s">
        <v>100</v>
      </c>
      <c r="D116" s="141">
        <v>704300000</v>
      </c>
      <c r="E116" s="141">
        <v>704300000</v>
      </c>
      <c r="F116" s="254">
        <v>0</v>
      </c>
      <c r="G116" s="263">
        <f t="shared" si="2"/>
        <v>1</v>
      </c>
      <c r="H116" s="134"/>
      <c r="I116" s="134"/>
      <c r="J116" s="259"/>
    </row>
    <row r="117" spans="1:10" s="12" customFormat="1">
      <c r="A117" s="92" t="s">
        <v>131</v>
      </c>
      <c r="B117" s="106" t="s">
        <v>101</v>
      </c>
      <c r="C117" s="229"/>
      <c r="D117" s="107">
        <v>252330000</v>
      </c>
      <c r="E117" s="107">
        <v>251894000</v>
      </c>
      <c r="F117" s="107">
        <v>436000</v>
      </c>
      <c r="G117" s="263">
        <f t="shared" si="2"/>
        <v>0.99827210399080568</v>
      </c>
      <c r="H117" s="134"/>
      <c r="J117" s="259"/>
    </row>
    <row r="118" spans="1:10" s="12" customFormat="1" ht="47.25">
      <c r="A118" s="140"/>
      <c r="B118" s="1052" t="s">
        <v>57</v>
      </c>
      <c r="C118" s="228" t="s">
        <v>102</v>
      </c>
      <c r="D118" s="141">
        <v>252330000</v>
      </c>
      <c r="E118" s="141">
        <v>251894000</v>
      </c>
      <c r="F118" s="254">
        <v>436000</v>
      </c>
      <c r="G118" s="263">
        <f t="shared" si="2"/>
        <v>0.99827210399080568</v>
      </c>
      <c r="H118" s="134"/>
      <c r="J118" s="259"/>
    </row>
    <row r="119" spans="1:10">
      <c r="A119" s="142" t="s">
        <v>146</v>
      </c>
      <c r="B119" s="29" t="s">
        <v>72</v>
      </c>
      <c r="C119" s="230"/>
      <c r="D119" s="256">
        <v>2344979200</v>
      </c>
      <c r="E119" s="256">
        <v>0</v>
      </c>
      <c r="F119" s="256">
        <v>2344979200</v>
      </c>
      <c r="G119" s="264">
        <f t="shared" si="2"/>
        <v>0</v>
      </c>
      <c r="H119" s="92"/>
    </row>
    <row r="120" spans="1:10">
      <c r="A120" s="142">
        <v>1</v>
      </c>
      <c r="B120" s="29" t="s">
        <v>8</v>
      </c>
      <c r="C120" s="230"/>
      <c r="D120" s="256">
        <v>2344979200</v>
      </c>
      <c r="E120" s="256">
        <v>0</v>
      </c>
      <c r="F120" s="256">
        <v>2344979200</v>
      </c>
      <c r="G120" s="264">
        <f t="shared" si="2"/>
        <v>0</v>
      </c>
      <c r="H120" s="92"/>
    </row>
    <row r="121" spans="1:10" s="37" customFormat="1">
      <c r="A121" s="94" t="s">
        <v>15</v>
      </c>
      <c r="B121" s="95" t="s">
        <v>5</v>
      </c>
      <c r="C121" s="231"/>
      <c r="D121" s="97">
        <v>2344979200</v>
      </c>
      <c r="E121" s="97">
        <v>0</v>
      </c>
      <c r="F121" s="97">
        <v>2344979200</v>
      </c>
      <c r="G121" s="266">
        <f t="shared" si="2"/>
        <v>0</v>
      </c>
      <c r="H121" s="98"/>
      <c r="J121" s="261"/>
    </row>
    <row r="122" spans="1:10" ht="114.75" customHeight="1">
      <c r="A122" s="139" t="s">
        <v>130</v>
      </c>
      <c r="B122" s="24" t="s">
        <v>73</v>
      </c>
      <c r="C122" s="230" t="s">
        <v>74</v>
      </c>
      <c r="D122" s="107">
        <v>2344979200</v>
      </c>
      <c r="E122" s="107"/>
      <c r="F122" s="254">
        <v>2344979200</v>
      </c>
      <c r="G122" s="263">
        <f t="shared" si="2"/>
        <v>0</v>
      </c>
      <c r="H122" s="92" t="s">
        <v>253</v>
      </c>
    </row>
    <row r="123" spans="1:10">
      <c r="A123" s="90" t="s">
        <v>147</v>
      </c>
      <c r="B123" s="29" t="s">
        <v>75</v>
      </c>
      <c r="C123" s="232"/>
      <c r="D123" s="128">
        <v>21562396117</v>
      </c>
      <c r="E123" s="128">
        <v>19734682117</v>
      </c>
      <c r="F123" s="128">
        <v>1827714000</v>
      </c>
      <c r="G123" s="264">
        <f t="shared" si="2"/>
        <v>0.91523604380131884</v>
      </c>
      <c r="H123" s="104"/>
    </row>
    <row r="124" spans="1:10">
      <c r="A124" s="142">
        <v>1</v>
      </c>
      <c r="B124" s="29" t="s">
        <v>8</v>
      </c>
      <c r="C124" s="232"/>
      <c r="D124" s="128">
        <v>7776406000</v>
      </c>
      <c r="E124" s="128">
        <v>5979429000</v>
      </c>
      <c r="F124" s="128">
        <v>1796977000</v>
      </c>
      <c r="G124" s="264">
        <f t="shared" si="2"/>
        <v>0.76891934397458161</v>
      </c>
      <c r="H124" s="92"/>
    </row>
    <row r="125" spans="1:10" s="37" customFormat="1">
      <c r="A125" s="94" t="s">
        <v>15</v>
      </c>
      <c r="B125" s="95" t="s">
        <v>5</v>
      </c>
      <c r="C125" s="233"/>
      <c r="D125" s="178">
        <v>7571745000</v>
      </c>
      <c r="E125" s="178">
        <v>5811893000</v>
      </c>
      <c r="F125" s="178">
        <v>1759852000</v>
      </c>
      <c r="G125" s="266">
        <f t="shared" si="2"/>
        <v>0.76757643053219571</v>
      </c>
      <c r="H125" s="98"/>
      <c r="J125" s="261"/>
    </row>
    <row r="126" spans="1:10" ht="15.75" hidden="1" customHeight="1">
      <c r="A126" s="23" t="s">
        <v>130</v>
      </c>
      <c r="B126" s="144" t="s">
        <v>9</v>
      </c>
      <c r="C126" s="203"/>
      <c r="D126" s="107">
        <v>2923295000</v>
      </c>
      <c r="E126" s="107">
        <v>2923295000</v>
      </c>
      <c r="F126" s="107">
        <v>0</v>
      </c>
      <c r="G126" s="263">
        <f t="shared" si="2"/>
        <v>1</v>
      </c>
      <c r="H126" s="92"/>
      <c r="I126" s="30"/>
    </row>
    <row r="127" spans="1:10" ht="31.5" hidden="1" customHeight="1">
      <c r="A127" s="23"/>
      <c r="B127" s="24"/>
      <c r="C127" s="228" t="s">
        <v>189</v>
      </c>
      <c r="D127" s="141">
        <v>665705000</v>
      </c>
      <c r="E127" s="141">
        <v>665705000</v>
      </c>
      <c r="F127" s="254">
        <v>0</v>
      </c>
      <c r="G127" s="263">
        <f t="shared" si="2"/>
        <v>1</v>
      </c>
      <c r="H127" s="92"/>
      <c r="I127" s="30"/>
    </row>
    <row r="128" spans="1:10" ht="47.25" hidden="1" customHeight="1">
      <c r="A128" s="23"/>
      <c r="B128" s="24"/>
      <c r="C128" s="228" t="s">
        <v>188</v>
      </c>
      <c r="D128" s="141">
        <v>500063000</v>
      </c>
      <c r="E128" s="141">
        <v>500063000</v>
      </c>
      <c r="F128" s="254">
        <v>0</v>
      </c>
      <c r="G128" s="263">
        <f t="shared" si="2"/>
        <v>1</v>
      </c>
      <c r="H128" s="92"/>
      <c r="I128" s="30"/>
    </row>
    <row r="129" spans="1:10" ht="31.5" hidden="1" customHeight="1">
      <c r="A129" s="23"/>
      <c r="B129" s="24"/>
      <c r="C129" s="228" t="s">
        <v>190</v>
      </c>
      <c r="D129" s="141">
        <v>1757527000</v>
      </c>
      <c r="E129" s="141">
        <v>1757527000</v>
      </c>
      <c r="F129" s="254">
        <v>0</v>
      </c>
      <c r="G129" s="263">
        <f t="shared" si="2"/>
        <v>1</v>
      </c>
      <c r="H129" s="92"/>
      <c r="I129" s="88"/>
    </row>
    <row r="130" spans="1:10" ht="15.75" hidden="1" customHeight="1">
      <c r="A130" s="23" t="s">
        <v>131</v>
      </c>
      <c r="B130" s="24" t="s">
        <v>63</v>
      </c>
      <c r="C130" s="203"/>
      <c r="D130" s="254">
        <v>410071000</v>
      </c>
      <c r="E130" s="254">
        <v>410071000</v>
      </c>
      <c r="F130" s="254">
        <v>0</v>
      </c>
      <c r="G130" s="263">
        <f t="shared" si="2"/>
        <v>1</v>
      </c>
      <c r="H130" s="92"/>
      <c r="I130" s="30"/>
    </row>
    <row r="131" spans="1:10" s="15" customFormat="1" ht="15.75" hidden="1" customHeight="1">
      <c r="A131" s="25" t="s">
        <v>128</v>
      </c>
      <c r="B131" s="180" t="s">
        <v>76</v>
      </c>
      <c r="C131" s="204"/>
      <c r="D131" s="255"/>
      <c r="E131" s="255"/>
      <c r="F131" s="254">
        <v>0</v>
      </c>
      <c r="G131" s="263"/>
      <c r="H131" s="104"/>
      <c r="J131" s="257"/>
    </row>
    <row r="132" spans="1:10" s="12" customFormat="1" ht="15.75" hidden="1" customHeight="1">
      <c r="A132" s="23"/>
      <c r="B132" s="99"/>
      <c r="C132" s="228" t="s">
        <v>195</v>
      </c>
      <c r="D132" s="141">
        <v>143405000</v>
      </c>
      <c r="E132" s="141">
        <v>143405000</v>
      </c>
      <c r="F132" s="254">
        <v>0</v>
      </c>
      <c r="G132" s="263">
        <f t="shared" si="2"/>
        <v>1</v>
      </c>
      <c r="H132" s="92"/>
      <c r="J132" s="259"/>
    </row>
    <row r="133" spans="1:10" s="12" customFormat="1" ht="15.75" hidden="1" customHeight="1">
      <c r="A133" s="23"/>
      <c r="B133" s="99"/>
      <c r="C133" s="228" t="s">
        <v>196</v>
      </c>
      <c r="D133" s="141">
        <v>266666000</v>
      </c>
      <c r="E133" s="141">
        <v>266666000</v>
      </c>
      <c r="F133" s="254">
        <v>0</v>
      </c>
      <c r="G133" s="263">
        <f t="shared" si="2"/>
        <v>1</v>
      </c>
      <c r="H133" s="92"/>
      <c r="J133" s="259"/>
    </row>
    <row r="134" spans="1:10" s="12" customFormat="1" ht="15.75" hidden="1" customHeight="1">
      <c r="A134" s="23" t="s">
        <v>132</v>
      </c>
      <c r="B134" s="105" t="s">
        <v>56</v>
      </c>
      <c r="C134" s="203"/>
      <c r="D134" s="145">
        <v>168906000</v>
      </c>
      <c r="E134" s="145">
        <v>168906000</v>
      </c>
      <c r="F134" s="145">
        <v>0</v>
      </c>
      <c r="G134" s="263">
        <f t="shared" si="2"/>
        <v>1</v>
      </c>
      <c r="H134" s="92"/>
      <c r="I134" s="30"/>
      <c r="J134" s="259"/>
    </row>
    <row r="135" spans="1:10" s="15" customFormat="1" ht="15.75" hidden="1" customHeight="1">
      <c r="A135" s="25" t="s">
        <v>128</v>
      </c>
      <c r="B135" s="170" t="s">
        <v>11</v>
      </c>
      <c r="C135" s="204"/>
      <c r="D135" s="181"/>
      <c r="E135" s="181"/>
      <c r="F135" s="254">
        <v>0</v>
      </c>
      <c r="G135" s="263"/>
      <c r="H135" s="140"/>
      <c r="J135" s="257"/>
    </row>
    <row r="136" spans="1:10" s="12" customFormat="1" ht="47.25" hidden="1" customHeight="1">
      <c r="A136" s="23"/>
      <c r="B136" s="110"/>
      <c r="C136" s="228" t="s">
        <v>236</v>
      </c>
      <c r="D136" s="141">
        <v>168906000</v>
      </c>
      <c r="E136" s="141">
        <v>168906000</v>
      </c>
      <c r="F136" s="254">
        <v>0</v>
      </c>
      <c r="G136" s="263">
        <f t="shared" si="2"/>
        <v>1</v>
      </c>
      <c r="H136" s="117"/>
      <c r="J136" s="259"/>
    </row>
    <row r="137" spans="1:10" s="12" customFormat="1">
      <c r="A137" s="23" t="s">
        <v>133</v>
      </c>
      <c r="B137" s="106" t="s">
        <v>39</v>
      </c>
      <c r="C137" s="100"/>
      <c r="D137" s="254">
        <v>2730936000</v>
      </c>
      <c r="E137" s="254">
        <v>971084000</v>
      </c>
      <c r="F137" s="254">
        <v>1759852000</v>
      </c>
      <c r="G137" s="263">
        <f t="shared" ref="G137:G200" si="3">E137/D137</f>
        <v>0.35558650953372761</v>
      </c>
      <c r="H137" s="117"/>
      <c r="I137" s="30"/>
      <c r="J137" s="259"/>
    </row>
    <row r="138" spans="1:10" s="15" customFormat="1" ht="45.75" customHeight="1">
      <c r="A138" s="25" t="s">
        <v>128</v>
      </c>
      <c r="B138" s="1059" t="s">
        <v>238</v>
      </c>
      <c r="C138" s="1059"/>
      <c r="D138" s="255"/>
      <c r="E138" s="255"/>
      <c r="F138" s="254">
        <v>0</v>
      </c>
      <c r="G138" s="263"/>
      <c r="H138" s="104"/>
      <c r="J138" s="257"/>
    </row>
    <row r="139" spans="1:10" s="15" customFormat="1" ht="47.25">
      <c r="A139" s="23"/>
      <c r="B139" s="106"/>
      <c r="C139" s="228" t="s">
        <v>237</v>
      </c>
      <c r="D139" s="141">
        <v>2119000</v>
      </c>
      <c r="E139" s="141"/>
      <c r="F139" s="254">
        <v>2119000</v>
      </c>
      <c r="G139" s="263">
        <f t="shared" si="3"/>
        <v>0</v>
      </c>
      <c r="H139" s="104"/>
      <c r="J139" s="257"/>
    </row>
    <row r="140" spans="1:10" s="15" customFormat="1" ht="63" hidden="1" customHeight="1">
      <c r="A140" s="23"/>
      <c r="B140" s="106"/>
      <c r="C140" s="228" t="s">
        <v>198</v>
      </c>
      <c r="D140" s="141">
        <v>810962000</v>
      </c>
      <c r="E140" s="141">
        <v>810962000</v>
      </c>
      <c r="F140" s="254">
        <v>0</v>
      </c>
      <c r="G140" s="263">
        <f t="shared" si="3"/>
        <v>1</v>
      </c>
      <c r="H140" s="104"/>
      <c r="J140" s="257"/>
    </row>
    <row r="141" spans="1:10" s="15" customFormat="1" ht="63">
      <c r="A141" s="23"/>
      <c r="B141" s="106"/>
      <c r="C141" s="228" t="s">
        <v>199</v>
      </c>
      <c r="D141" s="141">
        <v>1256694000</v>
      </c>
      <c r="E141" s="141"/>
      <c r="F141" s="254">
        <v>1256694000</v>
      </c>
      <c r="G141" s="263">
        <f t="shared" si="3"/>
        <v>0</v>
      </c>
      <c r="H141" s="104"/>
      <c r="J141" s="257"/>
    </row>
    <row r="142" spans="1:10" s="15" customFormat="1" ht="21.75" customHeight="1">
      <c r="A142" s="23"/>
      <c r="B142" s="106"/>
      <c r="C142" s="228" t="s">
        <v>200</v>
      </c>
      <c r="D142" s="141">
        <v>482930000</v>
      </c>
      <c r="E142" s="141"/>
      <c r="F142" s="254">
        <v>482930000</v>
      </c>
      <c r="G142" s="263">
        <f t="shared" si="3"/>
        <v>0</v>
      </c>
      <c r="H142" s="104"/>
      <c r="J142" s="257"/>
    </row>
    <row r="143" spans="1:10" s="15" customFormat="1" ht="31.5" hidden="1" customHeight="1">
      <c r="A143" s="23"/>
      <c r="B143" s="106"/>
      <c r="C143" s="228" t="s">
        <v>201</v>
      </c>
      <c r="D143" s="141">
        <v>10729000</v>
      </c>
      <c r="E143" s="141">
        <v>10729000</v>
      </c>
      <c r="F143" s="254">
        <v>0</v>
      </c>
      <c r="G143" s="263">
        <f t="shared" si="3"/>
        <v>1</v>
      </c>
      <c r="H143" s="104"/>
      <c r="J143" s="257"/>
    </row>
    <row r="144" spans="1:10" s="15" customFormat="1" ht="47.25" hidden="1" customHeight="1">
      <c r="A144" s="23"/>
      <c r="B144" s="106"/>
      <c r="C144" s="228" t="s">
        <v>194</v>
      </c>
      <c r="D144" s="141">
        <v>33084000</v>
      </c>
      <c r="E144" s="141">
        <v>33084000</v>
      </c>
      <c r="F144" s="254">
        <v>0</v>
      </c>
      <c r="G144" s="263">
        <f t="shared" si="3"/>
        <v>1</v>
      </c>
      <c r="H144" s="104"/>
      <c r="J144" s="257"/>
    </row>
    <row r="145" spans="1:10" s="15" customFormat="1" ht="68.25" hidden="1" customHeight="1">
      <c r="A145" s="23"/>
      <c r="B145" s="106"/>
      <c r="C145" s="228" t="s">
        <v>202</v>
      </c>
      <c r="D145" s="141">
        <v>103050000</v>
      </c>
      <c r="E145" s="141">
        <v>103050000</v>
      </c>
      <c r="F145" s="254">
        <v>0</v>
      </c>
      <c r="G145" s="263">
        <f t="shared" si="3"/>
        <v>1</v>
      </c>
      <c r="H145" s="104"/>
      <c r="J145" s="257"/>
    </row>
    <row r="146" spans="1:10" s="15" customFormat="1" ht="33" hidden="1" customHeight="1">
      <c r="A146" s="23"/>
      <c r="B146" s="106"/>
      <c r="C146" s="228" t="s">
        <v>203</v>
      </c>
      <c r="D146" s="141">
        <v>13259000</v>
      </c>
      <c r="E146" s="141">
        <v>13259000</v>
      </c>
      <c r="F146" s="254">
        <v>0</v>
      </c>
      <c r="G146" s="263">
        <f t="shared" si="3"/>
        <v>1</v>
      </c>
      <c r="H146" s="104"/>
      <c r="J146" s="257"/>
    </row>
    <row r="147" spans="1:10" s="15" customFormat="1" ht="31.5">
      <c r="A147" s="23"/>
      <c r="B147" s="106"/>
      <c r="C147" s="228" t="s">
        <v>204</v>
      </c>
      <c r="D147" s="141">
        <v>18109000</v>
      </c>
      <c r="E147" s="141"/>
      <c r="F147" s="254">
        <v>18109000</v>
      </c>
      <c r="G147" s="263">
        <f t="shared" si="3"/>
        <v>0</v>
      </c>
      <c r="H147" s="104"/>
      <c r="J147" s="257"/>
    </row>
    <row r="148" spans="1:10" s="15" customFormat="1">
      <c r="A148" s="23" t="s">
        <v>134</v>
      </c>
      <c r="B148" s="106" t="s">
        <v>44</v>
      </c>
      <c r="C148" s="203"/>
      <c r="D148" s="146">
        <v>1338537000</v>
      </c>
      <c r="E148" s="146">
        <v>1338537000</v>
      </c>
      <c r="F148" s="146">
        <v>0</v>
      </c>
      <c r="G148" s="263">
        <f t="shared" si="3"/>
        <v>1</v>
      </c>
      <c r="H148" s="140"/>
      <c r="I148" s="30"/>
      <c r="J148" s="257"/>
    </row>
    <row r="149" spans="1:10" s="15" customFormat="1">
      <c r="A149" s="25"/>
      <c r="B149" s="1052" t="s">
        <v>77</v>
      </c>
      <c r="C149" s="204"/>
      <c r="D149" s="182"/>
      <c r="E149" s="182"/>
      <c r="F149" s="254">
        <v>0</v>
      </c>
      <c r="G149" s="263"/>
      <c r="H149" s="140"/>
      <c r="J149" s="257"/>
    </row>
    <row r="150" spans="1:10" s="15" customFormat="1" ht="31.5">
      <c r="A150" s="23"/>
      <c r="B150" s="106"/>
      <c r="C150" s="228" t="s">
        <v>205</v>
      </c>
      <c r="D150" s="141">
        <v>1002453000</v>
      </c>
      <c r="E150" s="141">
        <v>1002453000</v>
      </c>
      <c r="F150" s="254">
        <v>0</v>
      </c>
      <c r="G150" s="263">
        <f t="shared" si="3"/>
        <v>1</v>
      </c>
      <c r="H150" s="140"/>
      <c r="J150" s="258"/>
    </row>
    <row r="151" spans="1:10" s="15" customFormat="1">
      <c r="A151" s="23"/>
      <c r="B151" s="106"/>
      <c r="C151" s="228" t="s">
        <v>206</v>
      </c>
      <c r="D151" s="141">
        <v>19955000</v>
      </c>
      <c r="E151" s="141">
        <v>19955000</v>
      </c>
      <c r="F151" s="254">
        <v>0</v>
      </c>
      <c r="G151" s="263">
        <f t="shared" si="3"/>
        <v>1</v>
      </c>
      <c r="H151" s="140"/>
      <c r="J151" s="88"/>
    </row>
    <row r="152" spans="1:10" s="15" customFormat="1">
      <c r="A152" s="23"/>
      <c r="B152" s="106"/>
      <c r="C152" s="228" t="s">
        <v>207</v>
      </c>
      <c r="D152" s="141">
        <v>290693000</v>
      </c>
      <c r="E152" s="141">
        <v>290693000</v>
      </c>
      <c r="F152" s="254">
        <v>0</v>
      </c>
      <c r="G152" s="263">
        <f t="shared" si="3"/>
        <v>1</v>
      </c>
      <c r="H152" s="140"/>
      <c r="J152" s="257"/>
    </row>
    <row r="153" spans="1:10" s="15" customFormat="1" ht="47.25">
      <c r="A153" s="23"/>
      <c r="B153" s="106"/>
      <c r="C153" s="228" t="s">
        <v>208</v>
      </c>
      <c r="D153" s="141">
        <v>25436000</v>
      </c>
      <c r="E153" s="141">
        <v>25436000</v>
      </c>
      <c r="F153" s="254">
        <v>0</v>
      </c>
      <c r="G153" s="263">
        <f t="shared" si="3"/>
        <v>1</v>
      </c>
      <c r="H153" s="140"/>
      <c r="J153" s="257"/>
    </row>
    <row r="154" spans="1:10" s="89" customFormat="1">
      <c r="A154" s="94" t="s">
        <v>18</v>
      </c>
      <c r="B154" s="188" t="s">
        <v>104</v>
      </c>
      <c r="C154" s="234"/>
      <c r="D154" s="195">
        <v>204661000</v>
      </c>
      <c r="E154" s="195">
        <v>167536000</v>
      </c>
      <c r="F154" s="195">
        <v>37125000</v>
      </c>
      <c r="G154" s="266">
        <f t="shared" si="3"/>
        <v>0.8186024694494799</v>
      </c>
      <c r="H154" s="177"/>
      <c r="J154" s="262"/>
    </row>
    <row r="155" spans="1:10" ht="15.75" hidden="1" customHeight="1">
      <c r="A155" s="23" t="s">
        <v>130</v>
      </c>
      <c r="B155" s="147" t="s">
        <v>112</v>
      </c>
      <c r="C155" s="205"/>
      <c r="D155" s="146">
        <v>93201000</v>
      </c>
      <c r="E155" s="146">
        <v>93201000</v>
      </c>
      <c r="F155" s="146">
        <v>0</v>
      </c>
      <c r="G155" s="263">
        <f t="shared" si="3"/>
        <v>1</v>
      </c>
      <c r="H155" s="92"/>
      <c r="I155" s="30"/>
    </row>
    <row r="156" spans="1:10" s="15" customFormat="1" ht="15.75" hidden="1" customHeight="1">
      <c r="A156" s="140"/>
      <c r="B156" s="180" t="s">
        <v>105</v>
      </c>
      <c r="C156" s="210"/>
      <c r="D156" s="182"/>
      <c r="E156" s="182"/>
      <c r="F156" s="254">
        <v>0</v>
      </c>
      <c r="G156" s="263"/>
      <c r="H156" s="140"/>
      <c r="J156" s="257"/>
    </row>
    <row r="157" spans="1:10" s="15" customFormat="1" ht="15.75" hidden="1" customHeight="1">
      <c r="A157" s="140"/>
      <c r="B157" s="99"/>
      <c r="C157" s="228" t="s">
        <v>220</v>
      </c>
      <c r="D157" s="141">
        <v>34580000</v>
      </c>
      <c r="E157" s="141">
        <v>34580000</v>
      </c>
      <c r="F157" s="254">
        <v>0</v>
      </c>
      <c r="G157" s="263">
        <f t="shared" si="3"/>
        <v>1</v>
      </c>
      <c r="H157" s="140"/>
      <c r="J157" s="88"/>
    </row>
    <row r="158" spans="1:10" s="15" customFormat="1" ht="15.75" hidden="1" customHeight="1">
      <c r="A158" s="140"/>
      <c r="B158" s="99"/>
      <c r="C158" s="228" t="s">
        <v>221</v>
      </c>
      <c r="D158" s="141">
        <v>30086000</v>
      </c>
      <c r="E158" s="141">
        <v>30086000</v>
      </c>
      <c r="F158" s="254">
        <v>0</v>
      </c>
      <c r="G158" s="263">
        <f t="shared" si="3"/>
        <v>1</v>
      </c>
      <c r="H158" s="140"/>
      <c r="J158" s="88"/>
    </row>
    <row r="159" spans="1:10" s="15" customFormat="1" ht="29.25" hidden="1" customHeight="1">
      <c r="A159" s="140"/>
      <c r="B159" s="99"/>
      <c r="C159" s="228" t="s">
        <v>222</v>
      </c>
      <c r="D159" s="141">
        <v>28535000</v>
      </c>
      <c r="E159" s="141">
        <v>28535000</v>
      </c>
      <c r="F159" s="254">
        <v>0</v>
      </c>
      <c r="G159" s="263">
        <f t="shared" si="3"/>
        <v>1</v>
      </c>
      <c r="H159" s="140"/>
      <c r="J159" s="88"/>
    </row>
    <row r="160" spans="1:10">
      <c r="A160" s="92" t="s">
        <v>131</v>
      </c>
      <c r="B160" s="99" t="s">
        <v>99</v>
      </c>
      <c r="C160" s="208"/>
      <c r="D160" s="146">
        <v>37125000</v>
      </c>
      <c r="E160" s="146">
        <v>0</v>
      </c>
      <c r="F160" s="146">
        <v>37125000</v>
      </c>
      <c r="G160" s="263">
        <f t="shared" si="3"/>
        <v>0</v>
      </c>
      <c r="H160" s="92"/>
      <c r="I160" s="30"/>
    </row>
    <row r="161" spans="1:10" s="15" customFormat="1">
      <c r="A161" s="140"/>
      <c r="B161" s="180" t="s">
        <v>106</v>
      </c>
      <c r="C161" s="210"/>
      <c r="D161" s="182"/>
      <c r="E161" s="182"/>
      <c r="F161" s="254">
        <v>0</v>
      </c>
      <c r="G161" s="263"/>
      <c r="H161" s="140"/>
      <c r="J161" s="257"/>
    </row>
    <row r="162" spans="1:10" s="15" customFormat="1" ht="22.5" customHeight="1">
      <c r="A162" s="140"/>
      <c r="B162" s="99"/>
      <c r="C162" s="228" t="s">
        <v>223</v>
      </c>
      <c r="D162" s="141">
        <v>37125000</v>
      </c>
      <c r="E162" s="141">
        <v>0</v>
      </c>
      <c r="F162" s="254">
        <v>37125000</v>
      </c>
      <c r="G162" s="263">
        <f t="shared" si="3"/>
        <v>0</v>
      </c>
      <c r="H162" s="140"/>
      <c r="J162" s="257"/>
    </row>
    <row r="163" spans="1:10" ht="15.75" hidden="1" customHeight="1">
      <c r="A163" s="92" t="s">
        <v>132</v>
      </c>
      <c r="B163" s="99" t="s">
        <v>101</v>
      </c>
      <c r="C163" s="208"/>
      <c r="D163" s="146">
        <v>74335000</v>
      </c>
      <c r="E163" s="146">
        <v>74335000</v>
      </c>
      <c r="F163" s="146">
        <v>0</v>
      </c>
      <c r="G163" s="263">
        <f t="shared" si="3"/>
        <v>1</v>
      </c>
      <c r="H163" s="92"/>
      <c r="I163" s="30"/>
    </row>
    <row r="164" spans="1:10" s="15" customFormat="1" ht="15.75" hidden="1" customHeight="1">
      <c r="A164" s="140"/>
      <c r="B164" s="180" t="s">
        <v>107</v>
      </c>
      <c r="C164" s="210"/>
      <c r="D164" s="182"/>
      <c r="E164" s="182"/>
      <c r="F164" s="254">
        <v>0</v>
      </c>
      <c r="G164" s="263"/>
      <c r="H164" s="140"/>
      <c r="J164" s="257"/>
    </row>
    <row r="165" spans="1:10" s="15" customFormat="1" ht="42.75" hidden="1" customHeight="1">
      <c r="A165" s="140"/>
      <c r="B165" s="99"/>
      <c r="C165" s="228" t="s">
        <v>224</v>
      </c>
      <c r="D165" s="141">
        <v>74335000</v>
      </c>
      <c r="E165" s="141">
        <v>74335000</v>
      </c>
      <c r="F165" s="254">
        <v>0</v>
      </c>
      <c r="G165" s="263">
        <f t="shared" si="3"/>
        <v>1</v>
      </c>
      <c r="H165" s="140"/>
      <c r="J165" s="257"/>
    </row>
    <row r="166" spans="1:10" s="10" customFormat="1">
      <c r="A166" s="90">
        <v>2</v>
      </c>
      <c r="B166" s="91" t="s">
        <v>13</v>
      </c>
      <c r="C166" s="232"/>
      <c r="D166" s="122">
        <v>13785990117</v>
      </c>
      <c r="E166" s="122">
        <v>13755253117</v>
      </c>
      <c r="F166" s="122">
        <v>30737000</v>
      </c>
      <c r="G166" s="263">
        <f t="shared" si="3"/>
        <v>0.99777041766756402</v>
      </c>
      <c r="H166" s="104"/>
      <c r="J166" s="88"/>
    </row>
    <row r="167" spans="1:10" s="37" customFormat="1">
      <c r="A167" s="94" t="s">
        <v>24</v>
      </c>
      <c r="B167" s="95" t="s">
        <v>5</v>
      </c>
      <c r="C167" s="193"/>
      <c r="D167" s="194">
        <v>11918753784</v>
      </c>
      <c r="E167" s="194">
        <v>11888016784</v>
      </c>
      <c r="F167" s="194">
        <v>30737000</v>
      </c>
      <c r="G167" s="266">
        <f t="shared" si="3"/>
        <v>0.99742112300018626</v>
      </c>
      <c r="H167" s="98"/>
      <c r="J167" s="261"/>
    </row>
    <row r="168" spans="1:10" ht="30" hidden="1" customHeight="1">
      <c r="A168" s="23" t="s">
        <v>130</v>
      </c>
      <c r="B168" s="144" t="s">
        <v>78</v>
      </c>
      <c r="C168" s="143"/>
      <c r="D168" s="252">
        <v>9908000000</v>
      </c>
      <c r="E168" s="252">
        <v>9908000000</v>
      </c>
      <c r="F168" s="252">
        <v>0</v>
      </c>
      <c r="G168" s="263">
        <f t="shared" si="3"/>
        <v>1</v>
      </c>
      <c r="H168" s="92"/>
    </row>
    <row r="169" spans="1:10" s="15" customFormat="1" ht="210.75" hidden="1" customHeight="1">
      <c r="A169" s="25" t="s">
        <v>128</v>
      </c>
      <c r="B169" s="1052" t="s">
        <v>79</v>
      </c>
      <c r="C169" s="235" t="s">
        <v>80</v>
      </c>
      <c r="D169" s="120">
        <v>9908000000</v>
      </c>
      <c r="E169" s="120">
        <v>9908000000</v>
      </c>
      <c r="F169" s="254">
        <v>0</v>
      </c>
      <c r="G169" s="263">
        <f t="shared" si="3"/>
        <v>1</v>
      </c>
      <c r="H169" s="104"/>
      <c r="J169" s="257"/>
    </row>
    <row r="170" spans="1:10" s="10" customFormat="1">
      <c r="A170" s="23" t="s">
        <v>131</v>
      </c>
      <c r="B170" s="183" t="s">
        <v>14</v>
      </c>
      <c r="C170" s="236"/>
      <c r="D170" s="145">
        <v>168753784</v>
      </c>
      <c r="E170" s="145">
        <v>138016784</v>
      </c>
      <c r="F170" s="145">
        <v>30737000</v>
      </c>
      <c r="G170" s="263">
        <f t="shared" si="3"/>
        <v>0.81785889909289378</v>
      </c>
      <c r="H170" s="104"/>
      <c r="J170" s="88"/>
    </row>
    <row r="171" spans="1:10" s="15" customFormat="1">
      <c r="A171" s="25" t="s">
        <v>128</v>
      </c>
      <c r="B171" s="184" t="s">
        <v>81</v>
      </c>
      <c r="C171" s="202" t="s">
        <v>20</v>
      </c>
      <c r="D171" s="141"/>
      <c r="E171" s="141"/>
      <c r="F171" s="254">
        <v>0</v>
      </c>
      <c r="G171" s="263"/>
      <c r="H171" s="104"/>
      <c r="J171" s="257"/>
    </row>
    <row r="172" spans="1:10" s="15" customFormat="1" ht="87" customHeight="1">
      <c r="A172" s="25"/>
      <c r="B172" s="184"/>
      <c r="C172" s="214" t="s">
        <v>82</v>
      </c>
      <c r="D172" s="141">
        <v>65843456</v>
      </c>
      <c r="E172" s="141">
        <v>65843456</v>
      </c>
      <c r="F172" s="254">
        <v>0</v>
      </c>
      <c r="G172" s="263">
        <f t="shared" si="3"/>
        <v>1</v>
      </c>
      <c r="H172" s="169"/>
      <c r="J172" s="257"/>
    </row>
    <row r="173" spans="1:10" s="15" customFormat="1" ht="84" customHeight="1">
      <c r="A173" s="25"/>
      <c r="B173" s="1052" t="s">
        <v>83</v>
      </c>
      <c r="C173" s="202" t="s">
        <v>84</v>
      </c>
      <c r="D173" s="120">
        <v>102910328</v>
      </c>
      <c r="E173" s="120">
        <v>72173328</v>
      </c>
      <c r="F173" s="254">
        <v>30737000</v>
      </c>
      <c r="G173" s="263">
        <f t="shared" si="3"/>
        <v>0.70132249505608413</v>
      </c>
      <c r="H173" s="169"/>
      <c r="J173" s="257"/>
    </row>
    <row r="174" spans="1:10" ht="15.75" hidden="1" customHeight="1">
      <c r="A174" s="23" t="s">
        <v>132</v>
      </c>
      <c r="B174" s="24" t="s">
        <v>39</v>
      </c>
      <c r="C174" s="235"/>
      <c r="D174" s="148">
        <v>50000000</v>
      </c>
      <c r="E174" s="148">
        <v>50000000</v>
      </c>
      <c r="F174" s="148">
        <v>0</v>
      </c>
      <c r="G174" s="263">
        <f t="shared" si="3"/>
        <v>1</v>
      </c>
      <c r="H174" s="92"/>
    </row>
    <row r="175" spans="1:10" s="10" customFormat="1" ht="47.25" hidden="1" customHeight="1">
      <c r="A175" s="25" t="s">
        <v>128</v>
      </c>
      <c r="B175" s="1052" t="s">
        <v>85</v>
      </c>
      <c r="C175" s="202" t="s">
        <v>86</v>
      </c>
      <c r="D175" s="185">
        <v>50000000</v>
      </c>
      <c r="E175" s="185">
        <v>50000000</v>
      </c>
      <c r="F175" s="254">
        <v>0</v>
      </c>
      <c r="G175" s="263">
        <f t="shared" si="3"/>
        <v>1</v>
      </c>
      <c r="H175" s="104"/>
      <c r="J175" s="88"/>
    </row>
    <row r="176" spans="1:10">
      <c r="A176" s="92" t="s">
        <v>133</v>
      </c>
      <c r="B176" s="106" t="s">
        <v>44</v>
      </c>
      <c r="C176" s="205"/>
      <c r="D176" s="107">
        <v>1792000000</v>
      </c>
      <c r="E176" s="107">
        <v>1792000000</v>
      </c>
      <c r="F176" s="107">
        <v>0</v>
      </c>
      <c r="G176" s="263">
        <f t="shared" si="3"/>
        <v>1</v>
      </c>
      <c r="H176" s="92"/>
    </row>
    <row r="177" spans="1:10" s="10" customFormat="1" ht="31.5">
      <c r="A177" s="140"/>
      <c r="B177" s="1052" t="s">
        <v>57</v>
      </c>
      <c r="C177" s="237" t="s">
        <v>87</v>
      </c>
      <c r="D177" s="141">
        <v>1792000000</v>
      </c>
      <c r="E177" s="141">
        <v>1792000000</v>
      </c>
      <c r="F177" s="254">
        <v>0</v>
      </c>
      <c r="G177" s="263">
        <f t="shared" si="3"/>
        <v>1</v>
      </c>
      <c r="H177" s="276"/>
      <c r="I177" s="88"/>
      <c r="J177" s="88"/>
    </row>
    <row r="178" spans="1:10" s="37" customFormat="1">
      <c r="A178" s="94" t="s">
        <v>59</v>
      </c>
      <c r="B178" s="186" t="s">
        <v>148</v>
      </c>
      <c r="C178" s="238"/>
      <c r="D178" s="178">
        <v>1867236333</v>
      </c>
      <c r="E178" s="178">
        <v>1867236333</v>
      </c>
      <c r="F178" s="178">
        <v>0</v>
      </c>
      <c r="G178" s="266">
        <f t="shared" si="3"/>
        <v>1</v>
      </c>
      <c r="H178" s="192"/>
      <c r="J178" s="261"/>
    </row>
    <row r="179" spans="1:10" s="10" customFormat="1" ht="54" customHeight="1">
      <c r="A179" s="92" t="s">
        <v>130</v>
      </c>
      <c r="B179" s="106" t="s">
        <v>121</v>
      </c>
      <c r="C179" s="239" t="s">
        <v>103</v>
      </c>
      <c r="D179" s="107">
        <v>1867236333</v>
      </c>
      <c r="E179" s="107">
        <v>1867236333</v>
      </c>
      <c r="F179" s="254">
        <v>0</v>
      </c>
      <c r="G179" s="263">
        <f t="shared" si="3"/>
        <v>1</v>
      </c>
      <c r="H179" s="149"/>
      <c r="J179" s="88"/>
    </row>
    <row r="180" spans="1:10" s="10" customFormat="1">
      <c r="A180" s="117" t="s">
        <v>149</v>
      </c>
      <c r="B180" s="150" t="s">
        <v>88</v>
      </c>
      <c r="C180" s="240"/>
      <c r="D180" s="128">
        <v>3670134000</v>
      </c>
      <c r="E180" s="128">
        <v>3559858000</v>
      </c>
      <c r="F180" s="128">
        <v>110276000</v>
      </c>
      <c r="G180" s="264">
        <f t="shared" si="3"/>
        <v>0.96995314067551752</v>
      </c>
      <c r="H180" s="149"/>
      <c r="J180" s="88"/>
    </row>
    <row r="181" spans="1:10" s="10" customFormat="1">
      <c r="A181" s="117">
        <v>1</v>
      </c>
      <c r="B181" s="150" t="s">
        <v>8</v>
      </c>
      <c r="C181" s="240"/>
      <c r="D181" s="128">
        <v>3670134000</v>
      </c>
      <c r="E181" s="128">
        <v>3559858000</v>
      </c>
      <c r="F181" s="128">
        <v>110276000</v>
      </c>
      <c r="G181" s="264">
        <f t="shared" si="3"/>
        <v>0.96995314067551752</v>
      </c>
      <c r="H181" s="149"/>
      <c r="J181" s="88"/>
    </row>
    <row r="182" spans="1:10" s="37" customFormat="1">
      <c r="A182" s="94" t="s">
        <v>15</v>
      </c>
      <c r="B182" s="95" t="s">
        <v>5</v>
      </c>
      <c r="C182" s="241"/>
      <c r="D182" s="178">
        <v>3670134000</v>
      </c>
      <c r="E182" s="178">
        <v>3559858000</v>
      </c>
      <c r="F182" s="178">
        <v>110276000</v>
      </c>
      <c r="G182" s="266">
        <f t="shared" si="3"/>
        <v>0.96995314067551752</v>
      </c>
      <c r="H182" s="192"/>
      <c r="J182" s="261"/>
    </row>
    <row r="183" spans="1:10" ht="15.75" hidden="1" customHeight="1">
      <c r="A183" s="92" t="s">
        <v>130</v>
      </c>
      <c r="B183" s="152" t="str">
        <f>'[1]PL 09a'!B84</f>
        <v>Ban QLDA đầu tư xây dựng tỉnh Quảng Nam</v>
      </c>
      <c r="C183" s="203"/>
      <c r="D183" s="101">
        <v>2721103000</v>
      </c>
      <c r="E183" s="101">
        <v>2721103000</v>
      </c>
      <c r="F183" s="101">
        <v>0</v>
      </c>
      <c r="G183" s="263">
        <f t="shared" si="3"/>
        <v>1</v>
      </c>
      <c r="H183" s="92"/>
      <c r="I183" s="30"/>
    </row>
    <row r="184" spans="1:10" ht="100.5" hidden="1" customHeight="1">
      <c r="A184" s="92"/>
      <c r="B184" s="152"/>
      <c r="C184" s="228" t="s">
        <v>239</v>
      </c>
      <c r="D184" s="141">
        <v>333683000</v>
      </c>
      <c r="E184" s="141">
        <v>333683000</v>
      </c>
      <c r="F184" s="254">
        <v>0</v>
      </c>
      <c r="G184" s="263">
        <f t="shared" si="3"/>
        <v>1</v>
      </c>
      <c r="H184" s="92"/>
      <c r="I184" s="30"/>
    </row>
    <row r="185" spans="1:10" ht="47.25" hidden="1" customHeight="1">
      <c r="A185" s="92"/>
      <c r="B185" s="152"/>
      <c r="C185" s="228" t="s">
        <v>188</v>
      </c>
      <c r="D185" s="141">
        <v>420083000</v>
      </c>
      <c r="E185" s="141">
        <v>420083000</v>
      </c>
      <c r="F185" s="254">
        <v>0</v>
      </c>
      <c r="G185" s="263">
        <f t="shared" si="3"/>
        <v>1</v>
      </c>
      <c r="H185" s="92"/>
      <c r="I185" s="30"/>
    </row>
    <row r="186" spans="1:10" ht="31.5" hidden="1" customHeight="1">
      <c r="A186" s="92"/>
      <c r="B186" s="152"/>
      <c r="C186" s="228" t="s">
        <v>191</v>
      </c>
      <c r="D186" s="141">
        <v>1967337000</v>
      </c>
      <c r="E186" s="141">
        <v>1967337000</v>
      </c>
      <c r="F186" s="254">
        <v>0</v>
      </c>
      <c r="G186" s="263">
        <f t="shared" si="3"/>
        <v>1</v>
      </c>
      <c r="H186" s="92"/>
      <c r="I186" s="30"/>
    </row>
    <row r="187" spans="1:10" ht="15.75" hidden="1" customHeight="1">
      <c r="A187" s="92" t="s">
        <v>131</v>
      </c>
      <c r="B187" s="152" t="s">
        <v>56</v>
      </c>
      <c r="C187" s="203"/>
      <c r="D187" s="254">
        <v>518013000</v>
      </c>
      <c r="E187" s="254">
        <v>518013000</v>
      </c>
      <c r="F187" s="254">
        <v>0</v>
      </c>
      <c r="G187" s="263">
        <f t="shared" si="3"/>
        <v>1</v>
      </c>
      <c r="H187" s="92"/>
      <c r="I187" s="30"/>
    </row>
    <row r="188" spans="1:10" ht="15.75" hidden="1" customHeight="1">
      <c r="A188" s="92"/>
      <c r="B188" s="110" t="s">
        <v>11</v>
      </c>
      <c r="C188" s="100"/>
      <c r="D188" s="254"/>
      <c r="E188" s="254"/>
      <c r="F188" s="254">
        <v>0</v>
      </c>
      <c r="G188" s="263"/>
      <c r="H188" s="92"/>
      <c r="I188" s="30"/>
    </row>
    <row r="189" spans="1:10" ht="15.75" hidden="1" customHeight="1">
      <c r="A189" s="92"/>
      <c r="B189" s="110"/>
      <c r="C189" s="228" t="s">
        <v>209</v>
      </c>
      <c r="D189" s="141">
        <v>498999000</v>
      </c>
      <c r="E189" s="141">
        <v>498999000</v>
      </c>
      <c r="F189" s="254">
        <v>0</v>
      </c>
      <c r="G189" s="263">
        <f t="shared" si="3"/>
        <v>1</v>
      </c>
      <c r="H189" s="92"/>
      <c r="I189" s="30"/>
    </row>
    <row r="190" spans="1:10" ht="31.5" hidden="1" customHeight="1">
      <c r="A190" s="92"/>
      <c r="B190" s="110"/>
      <c r="C190" s="228" t="s">
        <v>210</v>
      </c>
      <c r="D190" s="141">
        <v>19014000</v>
      </c>
      <c r="E190" s="141">
        <v>19014000</v>
      </c>
      <c r="F190" s="254">
        <v>0</v>
      </c>
      <c r="G190" s="263">
        <f t="shared" si="3"/>
        <v>1</v>
      </c>
      <c r="H190" s="92"/>
      <c r="I190" s="30"/>
    </row>
    <row r="191" spans="1:10">
      <c r="A191" s="92" t="s">
        <v>132</v>
      </c>
      <c r="B191" s="110" t="s">
        <v>39</v>
      </c>
      <c r="C191" s="203"/>
      <c r="D191" s="254">
        <v>110276000</v>
      </c>
      <c r="E191" s="254">
        <v>0</v>
      </c>
      <c r="F191" s="254">
        <v>110276000</v>
      </c>
      <c r="G191" s="263">
        <f t="shared" si="3"/>
        <v>0</v>
      </c>
      <c r="H191" s="92"/>
      <c r="I191" s="30"/>
    </row>
    <row r="192" spans="1:10">
      <c r="A192" s="92"/>
      <c r="B192" s="110" t="s">
        <v>193</v>
      </c>
      <c r="C192" s="203"/>
      <c r="D192" s="254"/>
      <c r="E192" s="254"/>
      <c r="F192" s="254">
        <v>0</v>
      </c>
      <c r="G192" s="263"/>
      <c r="H192" s="92"/>
      <c r="I192" s="30"/>
    </row>
    <row r="193" spans="1:52" ht="47.25">
      <c r="A193" s="92"/>
      <c r="B193" s="110"/>
      <c r="C193" s="228" t="s">
        <v>197</v>
      </c>
      <c r="D193" s="141">
        <v>110276000</v>
      </c>
      <c r="E193" s="141"/>
      <c r="F193" s="254">
        <v>110276000</v>
      </c>
      <c r="G193" s="263">
        <f t="shared" si="3"/>
        <v>0</v>
      </c>
      <c r="H193" s="92"/>
      <c r="I193" s="30"/>
    </row>
    <row r="194" spans="1:52">
      <c r="A194" s="139" t="s">
        <v>133</v>
      </c>
      <c r="B194" s="110" t="s">
        <v>44</v>
      </c>
      <c r="C194" s="203"/>
      <c r="D194" s="133">
        <v>320742000</v>
      </c>
      <c r="E194" s="133">
        <v>320742000</v>
      </c>
      <c r="F194" s="133">
        <v>0</v>
      </c>
      <c r="G194" s="263">
        <f t="shared" si="3"/>
        <v>1</v>
      </c>
      <c r="H194" s="92"/>
      <c r="I194" s="30"/>
    </row>
    <row r="195" spans="1:52">
      <c r="A195" s="139"/>
      <c r="B195" s="110" t="s">
        <v>77</v>
      </c>
      <c r="C195" s="203"/>
      <c r="D195" s="133"/>
      <c r="E195" s="133"/>
      <c r="F195" s="254">
        <v>0</v>
      </c>
      <c r="G195" s="263"/>
      <c r="H195" s="92"/>
      <c r="I195" s="30"/>
    </row>
    <row r="196" spans="1:52" ht="47.25">
      <c r="A196" s="139"/>
      <c r="B196" s="110"/>
      <c r="C196" s="228" t="s">
        <v>208</v>
      </c>
      <c r="D196" s="141">
        <v>95140000</v>
      </c>
      <c r="E196" s="141">
        <v>95140000</v>
      </c>
      <c r="F196" s="254">
        <v>0</v>
      </c>
      <c r="G196" s="263">
        <f t="shared" si="3"/>
        <v>1</v>
      </c>
      <c r="H196" s="92"/>
      <c r="I196" s="30"/>
    </row>
    <row r="197" spans="1:52">
      <c r="A197" s="139"/>
      <c r="B197" s="110"/>
      <c r="C197" s="228" t="s">
        <v>207</v>
      </c>
      <c r="D197" s="141">
        <v>75810000</v>
      </c>
      <c r="E197" s="141">
        <v>75810000</v>
      </c>
      <c r="F197" s="254">
        <v>0</v>
      </c>
      <c r="G197" s="263">
        <f t="shared" si="3"/>
        <v>1</v>
      </c>
      <c r="H197" s="92"/>
      <c r="I197" s="30"/>
    </row>
    <row r="198" spans="1:52" ht="31.5">
      <c r="A198" s="139"/>
      <c r="B198" s="110"/>
      <c r="C198" s="228" t="s">
        <v>205</v>
      </c>
      <c r="D198" s="141">
        <v>149792000</v>
      </c>
      <c r="E198" s="141">
        <v>149792000</v>
      </c>
      <c r="F198" s="254">
        <v>0</v>
      </c>
      <c r="G198" s="263">
        <f t="shared" si="3"/>
        <v>1</v>
      </c>
      <c r="H198" s="92"/>
      <c r="I198" s="30"/>
    </row>
    <row r="199" spans="1:52" s="22" customFormat="1">
      <c r="A199" s="153" t="s">
        <v>262</v>
      </c>
      <c r="B199" s="29" t="s">
        <v>89</v>
      </c>
      <c r="C199" s="242"/>
      <c r="D199" s="154">
        <v>5964172802</v>
      </c>
      <c r="E199" s="154">
        <v>5664437802</v>
      </c>
      <c r="F199" s="154">
        <v>299735000</v>
      </c>
      <c r="G199" s="264">
        <f t="shared" si="3"/>
        <v>0.94974407852510778</v>
      </c>
      <c r="H199" s="92"/>
      <c r="I199" s="3"/>
      <c r="J199" s="258"/>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row>
    <row r="200" spans="1:52" s="22" customFormat="1">
      <c r="A200" s="153">
        <v>1</v>
      </c>
      <c r="B200" s="29" t="s">
        <v>8</v>
      </c>
      <c r="C200" s="242"/>
      <c r="D200" s="154">
        <v>5729155000</v>
      </c>
      <c r="E200" s="154">
        <v>5429420000</v>
      </c>
      <c r="F200" s="154">
        <v>299735000</v>
      </c>
      <c r="G200" s="264">
        <f t="shared" si="3"/>
        <v>0.94768251164438733</v>
      </c>
      <c r="H200" s="92"/>
      <c r="I200" s="3"/>
      <c r="J200" s="258"/>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row>
    <row r="201" spans="1:52" s="37" customFormat="1">
      <c r="A201" s="94" t="s">
        <v>15</v>
      </c>
      <c r="B201" s="95" t="s">
        <v>5</v>
      </c>
      <c r="C201" s="220"/>
      <c r="D201" s="191">
        <v>5729155000</v>
      </c>
      <c r="E201" s="191">
        <v>5429420000</v>
      </c>
      <c r="F201" s="191">
        <v>299735000</v>
      </c>
      <c r="G201" s="266">
        <f t="shared" ref="G201:G218" si="4">E201/D201</f>
        <v>0.94768251164438733</v>
      </c>
      <c r="H201" s="98"/>
      <c r="J201" s="261"/>
    </row>
    <row r="202" spans="1:52" ht="15.75" hidden="1" customHeight="1">
      <c r="A202" s="155" t="s">
        <v>130</v>
      </c>
      <c r="B202" s="156" t="s">
        <v>9</v>
      </c>
      <c r="C202" s="240"/>
      <c r="D202" s="157">
        <v>5043040000</v>
      </c>
      <c r="E202" s="157">
        <v>5043040000</v>
      </c>
      <c r="F202" s="157">
        <v>0</v>
      </c>
      <c r="G202" s="263">
        <f t="shared" si="4"/>
        <v>1</v>
      </c>
      <c r="H202" s="92"/>
      <c r="I202" s="30"/>
      <c r="J202" s="275"/>
    </row>
    <row r="203" spans="1:52" ht="47.25" hidden="1" customHeight="1">
      <c r="A203" s="155"/>
      <c r="B203" s="156"/>
      <c r="C203" s="228" t="s">
        <v>188</v>
      </c>
      <c r="D203" s="141">
        <v>1769095000</v>
      </c>
      <c r="E203" s="141">
        <v>1769095000</v>
      </c>
      <c r="F203" s="254">
        <v>0</v>
      </c>
      <c r="G203" s="263">
        <f t="shared" si="4"/>
        <v>1</v>
      </c>
      <c r="H203" s="92"/>
      <c r="I203" s="30"/>
    </row>
    <row r="204" spans="1:52" ht="47.25" hidden="1" customHeight="1">
      <c r="A204" s="155"/>
      <c r="B204" s="156"/>
      <c r="C204" s="228" t="s">
        <v>188</v>
      </c>
      <c r="D204" s="141">
        <v>3273945000</v>
      </c>
      <c r="E204" s="141">
        <v>3273945000</v>
      </c>
      <c r="F204" s="254">
        <v>0</v>
      </c>
      <c r="G204" s="263">
        <f t="shared" si="4"/>
        <v>1</v>
      </c>
      <c r="H204" s="92"/>
      <c r="I204" s="30"/>
    </row>
    <row r="205" spans="1:52">
      <c r="A205" s="155" t="s">
        <v>131</v>
      </c>
      <c r="B205" s="156" t="s">
        <v>39</v>
      </c>
      <c r="C205" s="151"/>
      <c r="D205" s="157">
        <v>686115000</v>
      </c>
      <c r="E205" s="157">
        <v>386380000</v>
      </c>
      <c r="F205" s="157">
        <v>299735000</v>
      </c>
      <c r="G205" s="263">
        <f t="shared" si="4"/>
        <v>0.56314174737471123</v>
      </c>
      <c r="H205" s="92"/>
      <c r="I205" s="30"/>
    </row>
    <row r="206" spans="1:52" ht="50.25" customHeight="1">
      <c r="A206" s="155"/>
      <c r="B206" s="1060" t="s">
        <v>238</v>
      </c>
      <c r="C206" s="1060"/>
      <c r="D206" s="157"/>
      <c r="E206" s="157"/>
      <c r="F206" s="254">
        <v>0</v>
      </c>
      <c r="G206" s="263"/>
      <c r="H206" s="92"/>
      <c r="I206" s="30"/>
    </row>
    <row r="207" spans="1:52" ht="63.75" customHeight="1">
      <c r="A207" s="155"/>
      <c r="B207" s="156"/>
      <c r="C207" s="228" t="s">
        <v>198</v>
      </c>
      <c r="D207" s="141">
        <v>386380000</v>
      </c>
      <c r="E207" s="141">
        <v>386380000</v>
      </c>
      <c r="F207" s="254">
        <v>0</v>
      </c>
      <c r="G207" s="263">
        <f t="shared" si="4"/>
        <v>1</v>
      </c>
      <c r="H207" s="92"/>
      <c r="I207" s="30"/>
    </row>
    <row r="208" spans="1:52" ht="63">
      <c r="A208" s="155"/>
      <c r="B208" s="156"/>
      <c r="C208" s="228" t="s">
        <v>199</v>
      </c>
      <c r="D208" s="141">
        <v>299735000</v>
      </c>
      <c r="E208" s="141"/>
      <c r="F208" s="254">
        <v>299735000</v>
      </c>
      <c r="G208" s="263">
        <f t="shared" si="4"/>
        <v>0</v>
      </c>
      <c r="H208" s="92"/>
      <c r="I208" s="30"/>
    </row>
    <row r="209" spans="1:10">
      <c r="A209" s="142">
        <v>2</v>
      </c>
      <c r="B209" s="121" t="s">
        <v>13</v>
      </c>
      <c r="C209" s="205"/>
      <c r="D209" s="158">
        <v>235017802</v>
      </c>
      <c r="E209" s="158">
        <v>235017802</v>
      </c>
      <c r="F209" s="158">
        <v>0</v>
      </c>
      <c r="G209" s="264">
        <f t="shared" si="4"/>
        <v>1</v>
      </c>
      <c r="H209" s="92"/>
    </row>
    <row r="210" spans="1:10" s="37" customFormat="1">
      <c r="A210" s="177" t="s">
        <v>24</v>
      </c>
      <c r="B210" s="186" t="s">
        <v>120</v>
      </c>
      <c r="C210" s="225"/>
      <c r="D210" s="109">
        <v>158017802</v>
      </c>
      <c r="E210" s="109">
        <v>158017802</v>
      </c>
      <c r="F210" s="109">
        <v>0</v>
      </c>
      <c r="G210" s="266">
        <f t="shared" si="4"/>
        <v>1</v>
      </c>
      <c r="H210" s="98"/>
      <c r="J210" s="261"/>
    </row>
    <row r="211" spans="1:10">
      <c r="A211" s="92" t="s">
        <v>130</v>
      </c>
      <c r="B211" s="111" t="s">
        <v>121</v>
      </c>
      <c r="C211" s="239" t="s">
        <v>20</v>
      </c>
      <c r="D211" s="187">
        <v>158017802</v>
      </c>
      <c r="E211" s="187">
        <v>158017802</v>
      </c>
      <c r="F211" s="187">
        <v>0</v>
      </c>
      <c r="G211" s="263">
        <f t="shared" si="4"/>
        <v>1</v>
      </c>
      <c r="H211" s="92"/>
    </row>
    <row r="212" spans="1:10" s="10" customFormat="1" ht="84.75" customHeight="1">
      <c r="A212" s="140"/>
      <c r="B212" s="125" t="s">
        <v>108</v>
      </c>
      <c r="C212" s="243" t="s">
        <v>109</v>
      </c>
      <c r="D212" s="159">
        <v>158017802</v>
      </c>
      <c r="E212" s="159">
        <v>158017802</v>
      </c>
      <c r="F212" s="254">
        <v>0</v>
      </c>
      <c r="G212" s="263">
        <f t="shared" si="4"/>
        <v>1</v>
      </c>
      <c r="H212" s="104"/>
      <c r="J212" s="88"/>
    </row>
    <row r="213" spans="1:10" s="37" customFormat="1">
      <c r="A213" s="177" t="s">
        <v>59</v>
      </c>
      <c r="B213" s="188" t="s">
        <v>104</v>
      </c>
      <c r="C213" s="189"/>
      <c r="D213" s="190">
        <v>77000000</v>
      </c>
      <c r="E213" s="190">
        <v>77000000</v>
      </c>
      <c r="F213" s="190">
        <v>0</v>
      </c>
      <c r="G213" s="266">
        <f t="shared" si="4"/>
        <v>1</v>
      </c>
      <c r="H213" s="98"/>
      <c r="J213" s="261"/>
    </row>
    <row r="214" spans="1:10" s="10" customFormat="1">
      <c r="A214" s="117"/>
      <c r="B214" s="132" t="s">
        <v>110</v>
      </c>
      <c r="C214" s="135"/>
      <c r="D214" s="160"/>
      <c r="E214" s="160"/>
      <c r="F214" s="254">
        <v>0</v>
      </c>
      <c r="G214" s="263"/>
      <c r="H214" s="104"/>
      <c r="J214" s="88"/>
    </row>
    <row r="215" spans="1:10">
      <c r="A215" s="92" t="s">
        <v>111</v>
      </c>
      <c r="B215" s="135" t="s">
        <v>112</v>
      </c>
      <c r="C215" s="135"/>
      <c r="D215" s="161">
        <v>50000000</v>
      </c>
      <c r="E215" s="161">
        <v>50000000</v>
      </c>
      <c r="F215" s="161">
        <v>0</v>
      </c>
      <c r="G215" s="263">
        <f t="shared" si="4"/>
        <v>1</v>
      </c>
      <c r="H215" s="92"/>
    </row>
    <row r="216" spans="1:10" ht="63">
      <c r="A216" s="104"/>
      <c r="B216" s="162" t="s">
        <v>113</v>
      </c>
      <c r="C216" s="214" t="s">
        <v>114</v>
      </c>
      <c r="D216" s="160">
        <v>50000000</v>
      </c>
      <c r="E216" s="160">
        <v>50000000</v>
      </c>
      <c r="F216" s="254">
        <v>0</v>
      </c>
      <c r="G216" s="263">
        <f t="shared" si="4"/>
        <v>1</v>
      </c>
      <c r="H216" s="92"/>
    </row>
    <row r="217" spans="1:10">
      <c r="A217" s="92" t="s">
        <v>115</v>
      </c>
      <c r="B217" s="163" t="s">
        <v>99</v>
      </c>
      <c r="C217" s="244"/>
      <c r="D217" s="161">
        <v>27000000</v>
      </c>
      <c r="E217" s="161">
        <v>27000000</v>
      </c>
      <c r="F217" s="161">
        <v>0</v>
      </c>
      <c r="G217" s="263">
        <f t="shared" si="4"/>
        <v>1</v>
      </c>
      <c r="H217" s="92"/>
    </row>
    <row r="218" spans="1:10" ht="84" customHeight="1">
      <c r="A218" s="1054"/>
      <c r="B218" s="1055" t="s">
        <v>116</v>
      </c>
      <c r="C218" s="1056" t="s">
        <v>243</v>
      </c>
      <c r="D218" s="1057">
        <v>27000000</v>
      </c>
      <c r="E218" s="1057">
        <v>27000000</v>
      </c>
      <c r="F218" s="251">
        <v>0</v>
      </c>
      <c r="G218" s="265">
        <f t="shared" si="4"/>
        <v>1</v>
      </c>
      <c r="H218" s="1058" t="s">
        <v>263</v>
      </c>
    </row>
  </sheetData>
  <mergeCells count="8">
    <mergeCell ref="B138:C138"/>
    <mergeCell ref="B206:C206"/>
    <mergeCell ref="A2:H2"/>
    <mergeCell ref="A3:H3"/>
    <mergeCell ref="D1:H1"/>
    <mergeCell ref="H112:H113"/>
    <mergeCell ref="G4:H4"/>
    <mergeCell ref="A6:C6"/>
  </mergeCells>
  <pageMargins left="0.4" right="0.2" top="0.23622047244094499" bottom="0.41" header="0.31496062992126" footer="0.31496062992126"/>
  <pageSetup paperSize="9" scale="8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30"/>
  <sheetViews>
    <sheetView showOutlineSymbols="0" zoomScale="90" zoomScaleNormal="90" workbookViewId="0">
      <selection activeCell="I65" sqref="I65"/>
    </sheetView>
  </sheetViews>
  <sheetFormatPr defaultColWidth="46.5703125" defaultRowHeight="15.75" outlineLevelRow="2"/>
  <cols>
    <col min="1" max="1" width="3.85546875" style="86" bestFit="1" customWidth="1"/>
    <col min="2" max="2" width="44.85546875" style="39" customWidth="1"/>
    <col min="3" max="3" width="18.42578125" style="39" bestFit="1" customWidth="1"/>
    <col min="4" max="5" width="18.42578125" style="39" customWidth="1"/>
    <col min="6" max="6" width="55.5703125" style="39" customWidth="1"/>
    <col min="7" max="7" width="20" style="39" customWidth="1"/>
    <col min="8" max="258" width="46.5703125" style="39"/>
    <col min="259" max="259" width="3.85546875" style="39" bestFit="1" customWidth="1"/>
    <col min="260" max="260" width="24.7109375" style="39" customWidth="1"/>
    <col min="261" max="261" width="18.42578125" style="39" bestFit="1" customWidth="1"/>
    <col min="262" max="262" width="72.5703125" style="39" customWidth="1"/>
    <col min="263" max="263" width="17" style="39" customWidth="1"/>
    <col min="264" max="514" width="46.5703125" style="39"/>
    <col min="515" max="515" width="3.85546875" style="39" bestFit="1" customWidth="1"/>
    <col min="516" max="516" width="24.7109375" style="39" customWidth="1"/>
    <col min="517" max="517" width="18.42578125" style="39" bestFit="1" customWidth="1"/>
    <col min="518" max="518" width="72.5703125" style="39" customWidth="1"/>
    <col min="519" max="519" width="17" style="39" customWidth="1"/>
    <col min="520" max="770" width="46.5703125" style="39"/>
    <col min="771" max="771" width="3.85546875" style="39" bestFit="1" customWidth="1"/>
    <col min="772" max="772" width="24.7109375" style="39" customWidth="1"/>
    <col min="773" max="773" width="18.42578125" style="39" bestFit="1" customWidth="1"/>
    <col min="774" max="774" width="72.5703125" style="39" customWidth="1"/>
    <col min="775" max="775" width="17" style="39" customWidth="1"/>
    <col min="776" max="1026" width="46.5703125" style="39"/>
    <col min="1027" max="1027" width="3.85546875" style="39" bestFit="1" customWidth="1"/>
    <col min="1028" max="1028" width="24.7109375" style="39" customWidth="1"/>
    <col min="1029" max="1029" width="18.42578125" style="39" bestFit="1" customWidth="1"/>
    <col min="1030" max="1030" width="72.5703125" style="39" customWidth="1"/>
    <col min="1031" max="1031" width="17" style="39" customWidth="1"/>
    <col min="1032" max="1282" width="46.5703125" style="39"/>
    <col min="1283" max="1283" width="3.85546875" style="39" bestFit="1" customWidth="1"/>
    <col min="1284" max="1284" width="24.7109375" style="39" customWidth="1"/>
    <col min="1285" max="1285" width="18.42578125" style="39" bestFit="1" customWidth="1"/>
    <col min="1286" max="1286" width="72.5703125" style="39" customWidth="1"/>
    <col min="1287" max="1287" width="17" style="39" customWidth="1"/>
    <col min="1288" max="1538" width="46.5703125" style="39"/>
    <col min="1539" max="1539" width="3.85546875" style="39" bestFit="1" customWidth="1"/>
    <col min="1540" max="1540" width="24.7109375" style="39" customWidth="1"/>
    <col min="1541" max="1541" width="18.42578125" style="39" bestFit="1" customWidth="1"/>
    <col min="1542" max="1542" width="72.5703125" style="39" customWidth="1"/>
    <col min="1543" max="1543" width="17" style="39" customWidth="1"/>
    <col min="1544" max="1794" width="46.5703125" style="39"/>
    <col min="1795" max="1795" width="3.85546875" style="39" bestFit="1" customWidth="1"/>
    <col min="1796" max="1796" width="24.7109375" style="39" customWidth="1"/>
    <col min="1797" max="1797" width="18.42578125" style="39" bestFit="1" customWidth="1"/>
    <col min="1798" max="1798" width="72.5703125" style="39" customWidth="1"/>
    <col min="1799" max="1799" width="17" style="39" customWidth="1"/>
    <col min="1800" max="2050" width="46.5703125" style="39"/>
    <col min="2051" max="2051" width="3.85546875" style="39" bestFit="1" customWidth="1"/>
    <col min="2052" max="2052" width="24.7109375" style="39" customWidth="1"/>
    <col min="2053" max="2053" width="18.42578125" style="39" bestFit="1" customWidth="1"/>
    <col min="2054" max="2054" width="72.5703125" style="39" customWidth="1"/>
    <col min="2055" max="2055" width="17" style="39" customWidth="1"/>
    <col min="2056" max="2306" width="46.5703125" style="39"/>
    <col min="2307" max="2307" width="3.85546875" style="39" bestFit="1" customWidth="1"/>
    <col min="2308" max="2308" width="24.7109375" style="39" customWidth="1"/>
    <col min="2309" max="2309" width="18.42578125" style="39" bestFit="1" customWidth="1"/>
    <col min="2310" max="2310" width="72.5703125" style="39" customWidth="1"/>
    <col min="2311" max="2311" width="17" style="39" customWidth="1"/>
    <col min="2312" max="2562" width="46.5703125" style="39"/>
    <col min="2563" max="2563" width="3.85546875" style="39" bestFit="1" customWidth="1"/>
    <col min="2564" max="2564" width="24.7109375" style="39" customWidth="1"/>
    <col min="2565" max="2565" width="18.42578125" style="39" bestFit="1" customWidth="1"/>
    <col min="2566" max="2566" width="72.5703125" style="39" customWidth="1"/>
    <col min="2567" max="2567" width="17" style="39" customWidth="1"/>
    <col min="2568" max="2818" width="46.5703125" style="39"/>
    <col min="2819" max="2819" width="3.85546875" style="39" bestFit="1" customWidth="1"/>
    <col min="2820" max="2820" width="24.7109375" style="39" customWidth="1"/>
    <col min="2821" max="2821" width="18.42578125" style="39" bestFit="1" customWidth="1"/>
    <col min="2822" max="2822" width="72.5703125" style="39" customWidth="1"/>
    <col min="2823" max="2823" width="17" style="39" customWidth="1"/>
    <col min="2824" max="3074" width="46.5703125" style="39"/>
    <col min="3075" max="3075" width="3.85546875" style="39" bestFit="1" customWidth="1"/>
    <col min="3076" max="3076" width="24.7109375" style="39" customWidth="1"/>
    <col min="3077" max="3077" width="18.42578125" style="39" bestFit="1" customWidth="1"/>
    <col min="3078" max="3078" width="72.5703125" style="39" customWidth="1"/>
    <col min="3079" max="3079" width="17" style="39" customWidth="1"/>
    <col min="3080" max="3330" width="46.5703125" style="39"/>
    <col min="3331" max="3331" width="3.85546875" style="39" bestFit="1" customWidth="1"/>
    <col min="3332" max="3332" width="24.7109375" style="39" customWidth="1"/>
    <col min="3333" max="3333" width="18.42578125" style="39" bestFit="1" customWidth="1"/>
    <col min="3334" max="3334" width="72.5703125" style="39" customWidth="1"/>
    <col min="3335" max="3335" width="17" style="39" customWidth="1"/>
    <col min="3336" max="3586" width="46.5703125" style="39"/>
    <col min="3587" max="3587" width="3.85546875" style="39" bestFit="1" customWidth="1"/>
    <col min="3588" max="3588" width="24.7109375" style="39" customWidth="1"/>
    <col min="3589" max="3589" width="18.42578125" style="39" bestFit="1" customWidth="1"/>
    <col min="3590" max="3590" width="72.5703125" style="39" customWidth="1"/>
    <col min="3591" max="3591" width="17" style="39" customWidth="1"/>
    <col min="3592" max="3842" width="46.5703125" style="39"/>
    <col min="3843" max="3843" width="3.85546875" style="39" bestFit="1" customWidth="1"/>
    <col min="3844" max="3844" width="24.7109375" style="39" customWidth="1"/>
    <col min="3845" max="3845" width="18.42578125" style="39" bestFit="1" customWidth="1"/>
    <col min="3846" max="3846" width="72.5703125" style="39" customWidth="1"/>
    <col min="3847" max="3847" width="17" style="39" customWidth="1"/>
    <col min="3848" max="4098" width="46.5703125" style="39"/>
    <col min="4099" max="4099" width="3.85546875" style="39" bestFit="1" customWidth="1"/>
    <col min="4100" max="4100" width="24.7109375" style="39" customWidth="1"/>
    <col min="4101" max="4101" width="18.42578125" style="39" bestFit="1" customWidth="1"/>
    <col min="4102" max="4102" width="72.5703125" style="39" customWidth="1"/>
    <col min="4103" max="4103" width="17" style="39" customWidth="1"/>
    <col min="4104" max="4354" width="46.5703125" style="39"/>
    <col min="4355" max="4355" width="3.85546875" style="39" bestFit="1" customWidth="1"/>
    <col min="4356" max="4356" width="24.7109375" style="39" customWidth="1"/>
    <col min="4357" max="4357" width="18.42578125" style="39" bestFit="1" customWidth="1"/>
    <col min="4358" max="4358" width="72.5703125" style="39" customWidth="1"/>
    <col min="4359" max="4359" width="17" style="39" customWidth="1"/>
    <col min="4360" max="4610" width="46.5703125" style="39"/>
    <col min="4611" max="4611" width="3.85546875" style="39" bestFit="1" customWidth="1"/>
    <col min="4612" max="4612" width="24.7109375" style="39" customWidth="1"/>
    <col min="4613" max="4613" width="18.42578125" style="39" bestFit="1" customWidth="1"/>
    <col min="4614" max="4614" width="72.5703125" style="39" customWidth="1"/>
    <col min="4615" max="4615" width="17" style="39" customWidth="1"/>
    <col min="4616" max="4866" width="46.5703125" style="39"/>
    <col min="4867" max="4867" width="3.85546875" style="39" bestFit="1" customWidth="1"/>
    <col min="4868" max="4868" width="24.7109375" style="39" customWidth="1"/>
    <col min="4869" max="4869" width="18.42578125" style="39" bestFit="1" customWidth="1"/>
    <col min="4870" max="4870" width="72.5703125" style="39" customWidth="1"/>
    <col min="4871" max="4871" width="17" style="39" customWidth="1"/>
    <col min="4872" max="5122" width="46.5703125" style="39"/>
    <col min="5123" max="5123" width="3.85546875" style="39" bestFit="1" customWidth="1"/>
    <col min="5124" max="5124" width="24.7109375" style="39" customWidth="1"/>
    <col min="5125" max="5125" width="18.42578125" style="39" bestFit="1" customWidth="1"/>
    <col min="5126" max="5126" width="72.5703125" style="39" customWidth="1"/>
    <col min="5127" max="5127" width="17" style="39" customWidth="1"/>
    <col min="5128" max="5378" width="46.5703125" style="39"/>
    <col min="5379" max="5379" width="3.85546875" style="39" bestFit="1" customWidth="1"/>
    <col min="5380" max="5380" width="24.7109375" style="39" customWidth="1"/>
    <col min="5381" max="5381" width="18.42578125" style="39" bestFit="1" customWidth="1"/>
    <col min="5382" max="5382" width="72.5703125" style="39" customWidth="1"/>
    <col min="5383" max="5383" width="17" style="39" customWidth="1"/>
    <col min="5384" max="5634" width="46.5703125" style="39"/>
    <col min="5635" max="5635" width="3.85546875" style="39" bestFit="1" customWidth="1"/>
    <col min="5636" max="5636" width="24.7109375" style="39" customWidth="1"/>
    <col min="5637" max="5637" width="18.42578125" style="39" bestFit="1" customWidth="1"/>
    <col min="5638" max="5638" width="72.5703125" style="39" customWidth="1"/>
    <col min="5639" max="5639" width="17" style="39" customWidth="1"/>
    <col min="5640" max="5890" width="46.5703125" style="39"/>
    <col min="5891" max="5891" width="3.85546875" style="39" bestFit="1" customWidth="1"/>
    <col min="5892" max="5892" width="24.7109375" style="39" customWidth="1"/>
    <col min="5893" max="5893" width="18.42578125" style="39" bestFit="1" customWidth="1"/>
    <col min="5894" max="5894" width="72.5703125" style="39" customWidth="1"/>
    <col min="5895" max="5895" width="17" style="39" customWidth="1"/>
    <col min="5896" max="6146" width="46.5703125" style="39"/>
    <col min="6147" max="6147" width="3.85546875" style="39" bestFit="1" customWidth="1"/>
    <col min="6148" max="6148" width="24.7109375" style="39" customWidth="1"/>
    <col min="6149" max="6149" width="18.42578125" style="39" bestFit="1" customWidth="1"/>
    <col min="6150" max="6150" width="72.5703125" style="39" customWidth="1"/>
    <col min="6151" max="6151" width="17" style="39" customWidth="1"/>
    <col min="6152" max="6402" width="46.5703125" style="39"/>
    <col min="6403" max="6403" width="3.85546875" style="39" bestFit="1" customWidth="1"/>
    <col min="6404" max="6404" width="24.7109375" style="39" customWidth="1"/>
    <col min="6405" max="6405" width="18.42578125" style="39" bestFit="1" customWidth="1"/>
    <col min="6406" max="6406" width="72.5703125" style="39" customWidth="1"/>
    <col min="6407" max="6407" width="17" style="39" customWidth="1"/>
    <col min="6408" max="6658" width="46.5703125" style="39"/>
    <col min="6659" max="6659" width="3.85546875" style="39" bestFit="1" customWidth="1"/>
    <col min="6660" max="6660" width="24.7109375" style="39" customWidth="1"/>
    <col min="6661" max="6661" width="18.42578125" style="39" bestFit="1" customWidth="1"/>
    <col min="6662" max="6662" width="72.5703125" style="39" customWidth="1"/>
    <col min="6663" max="6663" width="17" style="39" customWidth="1"/>
    <col min="6664" max="6914" width="46.5703125" style="39"/>
    <col min="6915" max="6915" width="3.85546875" style="39" bestFit="1" customWidth="1"/>
    <col min="6916" max="6916" width="24.7109375" style="39" customWidth="1"/>
    <col min="6917" max="6917" width="18.42578125" style="39" bestFit="1" customWidth="1"/>
    <col min="6918" max="6918" width="72.5703125" style="39" customWidth="1"/>
    <col min="6919" max="6919" width="17" style="39" customWidth="1"/>
    <col min="6920" max="7170" width="46.5703125" style="39"/>
    <col min="7171" max="7171" width="3.85546875" style="39" bestFit="1" customWidth="1"/>
    <col min="7172" max="7172" width="24.7109375" style="39" customWidth="1"/>
    <col min="7173" max="7173" width="18.42578125" style="39" bestFit="1" customWidth="1"/>
    <col min="7174" max="7174" width="72.5703125" style="39" customWidth="1"/>
    <col min="7175" max="7175" width="17" style="39" customWidth="1"/>
    <col min="7176" max="7426" width="46.5703125" style="39"/>
    <col min="7427" max="7427" width="3.85546875" style="39" bestFit="1" customWidth="1"/>
    <col min="7428" max="7428" width="24.7109375" style="39" customWidth="1"/>
    <col min="7429" max="7429" width="18.42578125" style="39" bestFit="1" customWidth="1"/>
    <col min="7430" max="7430" width="72.5703125" style="39" customWidth="1"/>
    <col min="7431" max="7431" width="17" style="39" customWidth="1"/>
    <col min="7432" max="7682" width="46.5703125" style="39"/>
    <col min="7683" max="7683" width="3.85546875" style="39" bestFit="1" customWidth="1"/>
    <col min="7684" max="7684" width="24.7109375" style="39" customWidth="1"/>
    <col min="7685" max="7685" width="18.42578125" style="39" bestFit="1" customWidth="1"/>
    <col min="7686" max="7686" width="72.5703125" style="39" customWidth="1"/>
    <col min="7687" max="7687" width="17" style="39" customWidth="1"/>
    <col min="7688" max="7938" width="46.5703125" style="39"/>
    <col min="7939" max="7939" width="3.85546875" style="39" bestFit="1" customWidth="1"/>
    <col min="7940" max="7940" width="24.7109375" style="39" customWidth="1"/>
    <col min="7941" max="7941" width="18.42578125" style="39" bestFit="1" customWidth="1"/>
    <col min="7942" max="7942" width="72.5703125" style="39" customWidth="1"/>
    <col min="7943" max="7943" width="17" style="39" customWidth="1"/>
    <col min="7944" max="8194" width="46.5703125" style="39"/>
    <col min="8195" max="8195" width="3.85546875" style="39" bestFit="1" customWidth="1"/>
    <col min="8196" max="8196" width="24.7109375" style="39" customWidth="1"/>
    <col min="8197" max="8197" width="18.42578125" style="39" bestFit="1" customWidth="1"/>
    <col min="8198" max="8198" width="72.5703125" style="39" customWidth="1"/>
    <col min="8199" max="8199" width="17" style="39" customWidth="1"/>
    <col min="8200" max="8450" width="46.5703125" style="39"/>
    <col min="8451" max="8451" width="3.85546875" style="39" bestFit="1" customWidth="1"/>
    <col min="8452" max="8452" width="24.7109375" style="39" customWidth="1"/>
    <col min="8453" max="8453" width="18.42578125" style="39" bestFit="1" customWidth="1"/>
    <col min="8454" max="8454" width="72.5703125" style="39" customWidth="1"/>
    <col min="8455" max="8455" width="17" style="39" customWidth="1"/>
    <col min="8456" max="8706" width="46.5703125" style="39"/>
    <col min="8707" max="8707" width="3.85546875" style="39" bestFit="1" customWidth="1"/>
    <col min="8708" max="8708" width="24.7109375" style="39" customWidth="1"/>
    <col min="8709" max="8709" width="18.42578125" style="39" bestFit="1" customWidth="1"/>
    <col min="8710" max="8710" width="72.5703125" style="39" customWidth="1"/>
    <col min="8711" max="8711" width="17" style="39" customWidth="1"/>
    <col min="8712" max="8962" width="46.5703125" style="39"/>
    <col min="8963" max="8963" width="3.85546875" style="39" bestFit="1" customWidth="1"/>
    <col min="8964" max="8964" width="24.7109375" style="39" customWidth="1"/>
    <col min="8965" max="8965" width="18.42578125" style="39" bestFit="1" customWidth="1"/>
    <col min="8966" max="8966" width="72.5703125" style="39" customWidth="1"/>
    <col min="8967" max="8967" width="17" style="39" customWidth="1"/>
    <col min="8968" max="9218" width="46.5703125" style="39"/>
    <col min="9219" max="9219" width="3.85546875" style="39" bestFit="1" customWidth="1"/>
    <col min="9220" max="9220" width="24.7109375" style="39" customWidth="1"/>
    <col min="9221" max="9221" width="18.42578125" style="39" bestFit="1" customWidth="1"/>
    <col min="9222" max="9222" width="72.5703125" style="39" customWidth="1"/>
    <col min="9223" max="9223" width="17" style="39" customWidth="1"/>
    <col min="9224" max="9474" width="46.5703125" style="39"/>
    <col min="9475" max="9475" width="3.85546875" style="39" bestFit="1" customWidth="1"/>
    <col min="9476" max="9476" width="24.7109375" style="39" customWidth="1"/>
    <col min="9477" max="9477" width="18.42578125" style="39" bestFit="1" customWidth="1"/>
    <col min="9478" max="9478" width="72.5703125" style="39" customWidth="1"/>
    <col min="9479" max="9479" width="17" style="39" customWidth="1"/>
    <col min="9480" max="9730" width="46.5703125" style="39"/>
    <col min="9731" max="9731" width="3.85546875" style="39" bestFit="1" customWidth="1"/>
    <col min="9732" max="9732" width="24.7109375" style="39" customWidth="1"/>
    <col min="9733" max="9733" width="18.42578125" style="39" bestFit="1" customWidth="1"/>
    <col min="9734" max="9734" width="72.5703125" style="39" customWidth="1"/>
    <col min="9735" max="9735" width="17" style="39" customWidth="1"/>
    <col min="9736" max="9986" width="46.5703125" style="39"/>
    <col min="9987" max="9987" width="3.85546875" style="39" bestFit="1" customWidth="1"/>
    <col min="9988" max="9988" width="24.7109375" style="39" customWidth="1"/>
    <col min="9989" max="9989" width="18.42578125" style="39" bestFit="1" customWidth="1"/>
    <col min="9990" max="9990" width="72.5703125" style="39" customWidth="1"/>
    <col min="9991" max="9991" width="17" style="39" customWidth="1"/>
    <col min="9992" max="10242" width="46.5703125" style="39"/>
    <col min="10243" max="10243" width="3.85546875" style="39" bestFit="1" customWidth="1"/>
    <col min="10244" max="10244" width="24.7109375" style="39" customWidth="1"/>
    <col min="10245" max="10245" width="18.42578125" style="39" bestFit="1" customWidth="1"/>
    <col min="10246" max="10246" width="72.5703125" style="39" customWidth="1"/>
    <col min="10247" max="10247" width="17" style="39" customWidth="1"/>
    <col min="10248" max="10498" width="46.5703125" style="39"/>
    <col min="10499" max="10499" width="3.85546875" style="39" bestFit="1" customWidth="1"/>
    <col min="10500" max="10500" width="24.7109375" style="39" customWidth="1"/>
    <col min="10501" max="10501" width="18.42578125" style="39" bestFit="1" customWidth="1"/>
    <col min="10502" max="10502" width="72.5703125" style="39" customWidth="1"/>
    <col min="10503" max="10503" width="17" style="39" customWidth="1"/>
    <col min="10504" max="10754" width="46.5703125" style="39"/>
    <col min="10755" max="10755" width="3.85546875" style="39" bestFit="1" customWidth="1"/>
    <col min="10756" max="10756" width="24.7109375" style="39" customWidth="1"/>
    <col min="10757" max="10757" width="18.42578125" style="39" bestFit="1" customWidth="1"/>
    <col min="10758" max="10758" width="72.5703125" style="39" customWidth="1"/>
    <col min="10759" max="10759" width="17" style="39" customWidth="1"/>
    <col min="10760" max="11010" width="46.5703125" style="39"/>
    <col min="11011" max="11011" width="3.85546875" style="39" bestFit="1" customWidth="1"/>
    <col min="11012" max="11012" width="24.7109375" style="39" customWidth="1"/>
    <col min="11013" max="11013" width="18.42578125" style="39" bestFit="1" customWidth="1"/>
    <col min="11014" max="11014" width="72.5703125" style="39" customWidth="1"/>
    <col min="11015" max="11015" width="17" style="39" customWidth="1"/>
    <col min="11016" max="11266" width="46.5703125" style="39"/>
    <col min="11267" max="11267" width="3.85546875" style="39" bestFit="1" customWidth="1"/>
    <col min="11268" max="11268" width="24.7109375" style="39" customWidth="1"/>
    <col min="11269" max="11269" width="18.42578125" style="39" bestFit="1" customWidth="1"/>
    <col min="11270" max="11270" width="72.5703125" style="39" customWidth="1"/>
    <col min="11271" max="11271" width="17" style="39" customWidth="1"/>
    <col min="11272" max="11522" width="46.5703125" style="39"/>
    <col min="11523" max="11523" width="3.85546875" style="39" bestFit="1" customWidth="1"/>
    <col min="11524" max="11524" width="24.7109375" style="39" customWidth="1"/>
    <col min="11525" max="11525" width="18.42578125" style="39" bestFit="1" customWidth="1"/>
    <col min="11526" max="11526" width="72.5703125" style="39" customWidth="1"/>
    <col min="11527" max="11527" width="17" style="39" customWidth="1"/>
    <col min="11528" max="11778" width="46.5703125" style="39"/>
    <col min="11779" max="11779" width="3.85546875" style="39" bestFit="1" customWidth="1"/>
    <col min="11780" max="11780" width="24.7109375" style="39" customWidth="1"/>
    <col min="11781" max="11781" width="18.42578125" style="39" bestFit="1" customWidth="1"/>
    <col min="11782" max="11782" width="72.5703125" style="39" customWidth="1"/>
    <col min="11783" max="11783" width="17" style="39" customWidth="1"/>
    <col min="11784" max="12034" width="46.5703125" style="39"/>
    <col min="12035" max="12035" width="3.85546875" style="39" bestFit="1" customWidth="1"/>
    <col min="12036" max="12036" width="24.7109375" style="39" customWidth="1"/>
    <col min="12037" max="12037" width="18.42578125" style="39" bestFit="1" customWidth="1"/>
    <col min="12038" max="12038" width="72.5703125" style="39" customWidth="1"/>
    <col min="12039" max="12039" width="17" style="39" customWidth="1"/>
    <col min="12040" max="12290" width="46.5703125" style="39"/>
    <col min="12291" max="12291" width="3.85546875" style="39" bestFit="1" customWidth="1"/>
    <col min="12292" max="12292" width="24.7109375" style="39" customWidth="1"/>
    <col min="12293" max="12293" width="18.42578125" style="39" bestFit="1" customWidth="1"/>
    <col min="12294" max="12294" width="72.5703125" style="39" customWidth="1"/>
    <col min="12295" max="12295" width="17" style="39" customWidth="1"/>
    <col min="12296" max="12546" width="46.5703125" style="39"/>
    <col min="12547" max="12547" width="3.85546875" style="39" bestFit="1" customWidth="1"/>
    <col min="12548" max="12548" width="24.7109375" style="39" customWidth="1"/>
    <col min="12549" max="12549" width="18.42578125" style="39" bestFit="1" customWidth="1"/>
    <col min="12550" max="12550" width="72.5703125" style="39" customWidth="1"/>
    <col min="12551" max="12551" width="17" style="39" customWidth="1"/>
    <col min="12552" max="12802" width="46.5703125" style="39"/>
    <col min="12803" max="12803" width="3.85546875" style="39" bestFit="1" customWidth="1"/>
    <col min="12804" max="12804" width="24.7109375" style="39" customWidth="1"/>
    <col min="12805" max="12805" width="18.42578125" style="39" bestFit="1" customWidth="1"/>
    <col min="12806" max="12806" width="72.5703125" style="39" customWidth="1"/>
    <col min="12807" max="12807" width="17" style="39" customWidth="1"/>
    <col min="12808" max="13058" width="46.5703125" style="39"/>
    <col min="13059" max="13059" width="3.85546875" style="39" bestFit="1" customWidth="1"/>
    <col min="13060" max="13060" width="24.7109375" style="39" customWidth="1"/>
    <col min="13061" max="13061" width="18.42578125" style="39" bestFit="1" customWidth="1"/>
    <col min="13062" max="13062" width="72.5703125" style="39" customWidth="1"/>
    <col min="13063" max="13063" width="17" style="39" customWidth="1"/>
    <col min="13064" max="13314" width="46.5703125" style="39"/>
    <col min="13315" max="13315" width="3.85546875" style="39" bestFit="1" customWidth="1"/>
    <col min="13316" max="13316" width="24.7109375" style="39" customWidth="1"/>
    <col min="13317" max="13317" width="18.42578125" style="39" bestFit="1" customWidth="1"/>
    <col min="13318" max="13318" width="72.5703125" style="39" customWidth="1"/>
    <col min="13319" max="13319" width="17" style="39" customWidth="1"/>
    <col min="13320" max="13570" width="46.5703125" style="39"/>
    <col min="13571" max="13571" width="3.85546875" style="39" bestFit="1" customWidth="1"/>
    <col min="13572" max="13572" width="24.7109375" style="39" customWidth="1"/>
    <col min="13573" max="13573" width="18.42578125" style="39" bestFit="1" customWidth="1"/>
    <col min="13574" max="13574" width="72.5703125" style="39" customWidth="1"/>
    <col min="13575" max="13575" width="17" style="39" customWidth="1"/>
    <col min="13576" max="13826" width="46.5703125" style="39"/>
    <col min="13827" max="13827" width="3.85546875" style="39" bestFit="1" customWidth="1"/>
    <col min="13828" max="13828" width="24.7109375" style="39" customWidth="1"/>
    <col min="13829" max="13829" width="18.42578125" style="39" bestFit="1" customWidth="1"/>
    <col min="13830" max="13830" width="72.5703125" style="39" customWidth="1"/>
    <col min="13831" max="13831" width="17" style="39" customWidth="1"/>
    <col min="13832" max="14082" width="46.5703125" style="39"/>
    <col min="14083" max="14083" width="3.85546875" style="39" bestFit="1" customWidth="1"/>
    <col min="14084" max="14084" width="24.7109375" style="39" customWidth="1"/>
    <col min="14085" max="14085" width="18.42578125" style="39" bestFit="1" customWidth="1"/>
    <col min="14086" max="14086" width="72.5703125" style="39" customWidth="1"/>
    <col min="14087" max="14087" width="17" style="39" customWidth="1"/>
    <col min="14088" max="14338" width="46.5703125" style="39"/>
    <col min="14339" max="14339" width="3.85546875" style="39" bestFit="1" customWidth="1"/>
    <col min="14340" max="14340" width="24.7109375" style="39" customWidth="1"/>
    <col min="14341" max="14341" width="18.42578125" style="39" bestFit="1" customWidth="1"/>
    <col min="14342" max="14342" width="72.5703125" style="39" customWidth="1"/>
    <col min="14343" max="14343" width="17" style="39" customWidth="1"/>
    <col min="14344" max="14594" width="46.5703125" style="39"/>
    <col min="14595" max="14595" width="3.85546875" style="39" bestFit="1" customWidth="1"/>
    <col min="14596" max="14596" width="24.7109375" style="39" customWidth="1"/>
    <col min="14597" max="14597" width="18.42578125" style="39" bestFit="1" customWidth="1"/>
    <col min="14598" max="14598" width="72.5703125" style="39" customWidth="1"/>
    <col min="14599" max="14599" width="17" style="39" customWidth="1"/>
    <col min="14600" max="14850" width="46.5703125" style="39"/>
    <col min="14851" max="14851" width="3.85546875" style="39" bestFit="1" customWidth="1"/>
    <col min="14852" max="14852" width="24.7109375" style="39" customWidth="1"/>
    <col min="14853" max="14853" width="18.42578125" style="39" bestFit="1" customWidth="1"/>
    <col min="14854" max="14854" width="72.5703125" style="39" customWidth="1"/>
    <col min="14855" max="14855" width="17" style="39" customWidth="1"/>
    <col min="14856" max="15106" width="46.5703125" style="39"/>
    <col min="15107" max="15107" width="3.85546875" style="39" bestFit="1" customWidth="1"/>
    <col min="15108" max="15108" width="24.7109375" style="39" customWidth="1"/>
    <col min="15109" max="15109" width="18.42578125" style="39" bestFit="1" customWidth="1"/>
    <col min="15110" max="15110" width="72.5703125" style="39" customWidth="1"/>
    <col min="15111" max="15111" width="17" style="39" customWidth="1"/>
    <col min="15112" max="15362" width="46.5703125" style="39"/>
    <col min="15363" max="15363" width="3.85546875" style="39" bestFit="1" customWidth="1"/>
    <col min="15364" max="15364" width="24.7109375" style="39" customWidth="1"/>
    <col min="15365" max="15365" width="18.42578125" style="39" bestFit="1" customWidth="1"/>
    <col min="15366" max="15366" width="72.5703125" style="39" customWidth="1"/>
    <col min="15367" max="15367" width="17" style="39" customWidth="1"/>
    <col min="15368" max="15618" width="46.5703125" style="39"/>
    <col min="15619" max="15619" width="3.85546875" style="39" bestFit="1" customWidth="1"/>
    <col min="15620" max="15620" width="24.7109375" style="39" customWidth="1"/>
    <col min="15621" max="15621" width="18.42578125" style="39" bestFit="1" customWidth="1"/>
    <col min="15622" max="15622" width="72.5703125" style="39" customWidth="1"/>
    <col min="15623" max="15623" width="17" style="39" customWidth="1"/>
    <col min="15624" max="15874" width="46.5703125" style="39"/>
    <col min="15875" max="15875" width="3.85546875" style="39" bestFit="1" customWidth="1"/>
    <col min="15876" max="15876" width="24.7109375" style="39" customWidth="1"/>
    <col min="15877" max="15877" width="18.42578125" style="39" bestFit="1" customWidth="1"/>
    <col min="15878" max="15878" width="72.5703125" style="39" customWidth="1"/>
    <col min="15879" max="15879" width="17" style="39" customWidth="1"/>
    <col min="15880" max="16130" width="46.5703125" style="39"/>
    <col min="16131" max="16131" width="3.85546875" style="39" bestFit="1" customWidth="1"/>
    <col min="16132" max="16132" width="24.7109375" style="39" customWidth="1"/>
    <col min="16133" max="16133" width="18.42578125" style="39" bestFit="1" customWidth="1"/>
    <col min="16134" max="16134" width="72.5703125" style="39" customWidth="1"/>
    <col min="16135" max="16135" width="17" style="39" customWidth="1"/>
    <col min="16136" max="16384" width="46.5703125" style="39"/>
  </cols>
  <sheetData>
    <row r="1" spans="1:8">
      <c r="A1" s="1"/>
      <c r="B1" s="38"/>
      <c r="C1" s="38"/>
      <c r="D1" s="38"/>
      <c r="E1" s="1069" t="s">
        <v>259</v>
      </c>
      <c r="F1" s="1069"/>
    </row>
    <row r="2" spans="1:8">
      <c r="A2" s="1068" t="s">
        <v>150</v>
      </c>
      <c r="B2" s="1068"/>
      <c r="C2" s="1068"/>
      <c r="D2" s="1068"/>
      <c r="E2" s="1068"/>
      <c r="F2" s="1068"/>
      <c r="G2" s="1068"/>
    </row>
    <row r="3" spans="1:8">
      <c r="A3" s="1062" t="s">
        <v>264</v>
      </c>
      <c r="B3" s="1062"/>
      <c r="C3" s="1062"/>
      <c r="D3" s="1062"/>
      <c r="E3" s="1062"/>
      <c r="F3" s="1062"/>
      <c r="G3" s="1062"/>
      <c r="H3" s="245"/>
    </row>
    <row r="4" spans="1:8">
      <c r="A4" s="4"/>
      <c r="B4" s="4"/>
      <c r="C4" s="4"/>
      <c r="D4" s="4"/>
      <c r="E4" s="4"/>
      <c r="F4" s="267" t="s">
        <v>257</v>
      </c>
      <c r="G4" s="269"/>
    </row>
    <row r="5" spans="1:8" ht="31.5">
      <c r="A5" s="40" t="s">
        <v>0</v>
      </c>
      <c r="B5" s="40" t="s">
        <v>1</v>
      </c>
      <c r="C5" s="40" t="s">
        <v>2</v>
      </c>
      <c r="D5" s="40" t="s">
        <v>254</v>
      </c>
      <c r="E5" s="40" t="s">
        <v>255</v>
      </c>
      <c r="F5" s="40" t="s">
        <v>151</v>
      </c>
      <c r="G5" s="40" t="s">
        <v>3</v>
      </c>
    </row>
    <row r="6" spans="1:8">
      <c r="A6" s="40"/>
      <c r="B6" s="40" t="s">
        <v>152</v>
      </c>
      <c r="C6" s="41">
        <v>1104836603863</v>
      </c>
      <c r="D6" s="41">
        <v>835103309958</v>
      </c>
      <c r="E6" s="41">
        <v>269733293905</v>
      </c>
      <c r="F6" s="40"/>
      <c r="G6" s="40"/>
    </row>
    <row r="7" spans="1:8">
      <c r="A7" s="40" t="s">
        <v>4</v>
      </c>
      <c r="B7" s="42" t="s">
        <v>5</v>
      </c>
      <c r="C7" s="41">
        <v>1104836603863</v>
      </c>
      <c r="D7" s="41">
        <v>835103309958</v>
      </c>
      <c r="E7" s="41">
        <v>269733293905</v>
      </c>
      <c r="F7" s="40"/>
      <c r="G7" s="40"/>
    </row>
    <row r="8" spans="1:8" s="47" customFormat="1">
      <c r="A8" s="43">
        <v>1</v>
      </c>
      <c r="B8" s="44" t="s">
        <v>245</v>
      </c>
      <c r="C8" s="41">
        <v>909488996911</v>
      </c>
      <c r="D8" s="41">
        <v>734356183006</v>
      </c>
      <c r="E8" s="41">
        <v>175132813905</v>
      </c>
      <c r="F8" s="45"/>
      <c r="G8" s="46"/>
    </row>
    <row r="9" spans="1:8" ht="47.25" outlineLevel="2">
      <c r="A9" s="48" t="s">
        <v>15</v>
      </c>
      <c r="B9" s="49" t="s">
        <v>153</v>
      </c>
      <c r="C9" s="50">
        <v>301023000000</v>
      </c>
      <c r="D9" s="50">
        <v>125890186095</v>
      </c>
      <c r="E9" s="50">
        <v>175132813905</v>
      </c>
      <c r="F9" s="51" t="s">
        <v>244</v>
      </c>
      <c r="G9" s="35" t="s">
        <v>247</v>
      </c>
    </row>
    <row r="10" spans="1:8" ht="47.25" outlineLevel="2">
      <c r="A10" s="48" t="s">
        <v>18</v>
      </c>
      <c r="B10" s="7" t="s">
        <v>154</v>
      </c>
      <c r="C10" s="50">
        <v>608465996911</v>
      </c>
      <c r="D10" s="50">
        <v>608465996911</v>
      </c>
      <c r="E10" s="50">
        <v>0</v>
      </c>
      <c r="F10" s="51" t="s">
        <v>246</v>
      </c>
      <c r="G10" s="35" t="s">
        <v>248</v>
      </c>
    </row>
    <row r="11" spans="1:8">
      <c r="A11" s="52">
        <v>2</v>
      </c>
      <c r="B11" s="53" t="s">
        <v>56</v>
      </c>
      <c r="C11" s="41">
        <v>5503000000</v>
      </c>
      <c r="D11" s="41">
        <v>5503000000</v>
      </c>
      <c r="E11" s="41">
        <v>0</v>
      </c>
      <c r="F11" s="246"/>
      <c r="G11" s="53"/>
    </row>
    <row r="12" spans="1:8" ht="52.5" hidden="1" customHeight="1">
      <c r="A12" s="54" t="s">
        <v>24</v>
      </c>
      <c r="B12" s="7" t="s">
        <v>155</v>
      </c>
      <c r="C12" s="55">
        <v>1147000000</v>
      </c>
      <c r="D12" s="55">
        <v>1147000000</v>
      </c>
      <c r="E12" s="50">
        <v>0</v>
      </c>
      <c r="F12" s="56" t="s">
        <v>156</v>
      </c>
      <c r="G12" s="57"/>
    </row>
    <row r="13" spans="1:8" ht="77.25" hidden="1" customHeight="1">
      <c r="A13" s="54" t="s">
        <v>59</v>
      </c>
      <c r="B13" s="58" t="s">
        <v>157</v>
      </c>
      <c r="C13" s="8">
        <v>2980000000</v>
      </c>
      <c r="D13" s="8">
        <v>2980000000</v>
      </c>
      <c r="E13" s="50">
        <v>0</v>
      </c>
      <c r="F13" s="247" t="s">
        <v>158</v>
      </c>
      <c r="G13" s="57"/>
    </row>
    <row r="14" spans="1:8" hidden="1">
      <c r="A14" s="54" t="s">
        <v>129</v>
      </c>
      <c r="B14" s="58" t="s">
        <v>159</v>
      </c>
      <c r="C14" s="8">
        <v>1376000000</v>
      </c>
      <c r="D14" s="8">
        <v>1376000000</v>
      </c>
      <c r="E14" s="8">
        <v>0</v>
      </c>
      <c r="F14" s="247"/>
      <c r="G14" s="57"/>
    </row>
    <row r="15" spans="1:8" s="62" customFormat="1" ht="85.5" hidden="1" customHeight="1" outlineLevel="1">
      <c r="A15" s="59"/>
      <c r="B15" s="60" t="s">
        <v>160</v>
      </c>
      <c r="C15" s="9">
        <v>999000000</v>
      </c>
      <c r="D15" s="9">
        <v>999000000</v>
      </c>
      <c r="E15" s="50">
        <v>0</v>
      </c>
      <c r="F15" s="248" t="s">
        <v>161</v>
      </c>
      <c r="G15" s="61"/>
    </row>
    <row r="16" spans="1:8" s="62" customFormat="1" ht="40.5" hidden="1" customHeight="1" outlineLevel="1">
      <c r="A16" s="63"/>
      <c r="B16" s="64" t="s">
        <v>162</v>
      </c>
      <c r="C16" s="65">
        <v>377000000</v>
      </c>
      <c r="D16" s="65">
        <v>377000000</v>
      </c>
      <c r="E16" s="50">
        <v>0</v>
      </c>
      <c r="F16" s="248" t="s">
        <v>163</v>
      </c>
      <c r="G16" s="66"/>
    </row>
    <row r="17" spans="1:7">
      <c r="A17" s="52">
        <v>3</v>
      </c>
      <c r="B17" s="53" t="s">
        <v>39</v>
      </c>
      <c r="C17" s="41">
        <v>31261126952</v>
      </c>
      <c r="D17" s="41">
        <v>31261126952</v>
      </c>
      <c r="E17" s="41">
        <v>0</v>
      </c>
      <c r="F17" s="249"/>
      <c r="G17" s="57"/>
    </row>
    <row r="18" spans="1:7" ht="81.75" hidden="1" customHeight="1">
      <c r="A18" s="54" t="s">
        <v>36</v>
      </c>
      <c r="B18" s="67" t="s">
        <v>164</v>
      </c>
      <c r="C18" s="68">
        <v>97989507</v>
      </c>
      <c r="D18" s="68">
        <v>97989507</v>
      </c>
      <c r="E18" s="50">
        <v>0</v>
      </c>
      <c r="F18" s="67" t="s">
        <v>165</v>
      </c>
      <c r="G18" s="57"/>
    </row>
    <row r="19" spans="1:7" s="32" customFormat="1" ht="283.5" hidden="1">
      <c r="A19" s="17" t="s">
        <v>166</v>
      </c>
      <c r="B19" s="11" t="s">
        <v>162</v>
      </c>
      <c r="C19" s="69">
        <v>31030648445</v>
      </c>
      <c r="D19" s="69">
        <v>31030648445</v>
      </c>
      <c r="E19" s="50">
        <v>0</v>
      </c>
      <c r="F19" s="250" t="s">
        <v>167</v>
      </c>
      <c r="G19" s="31"/>
    </row>
    <row r="20" spans="1:7" ht="78.75" hidden="1">
      <c r="A20" s="54" t="s">
        <v>168</v>
      </c>
      <c r="B20" s="67" t="s">
        <v>169</v>
      </c>
      <c r="C20" s="68">
        <v>132489000</v>
      </c>
      <c r="D20" s="68">
        <v>132489000</v>
      </c>
      <c r="E20" s="50">
        <v>0</v>
      </c>
      <c r="F20" s="67" t="s">
        <v>170</v>
      </c>
      <c r="G20" s="57"/>
    </row>
    <row r="21" spans="1:7" s="47" customFormat="1">
      <c r="A21" s="52">
        <v>4</v>
      </c>
      <c r="B21" s="70" t="s">
        <v>44</v>
      </c>
      <c r="C21" s="71">
        <v>520000000</v>
      </c>
      <c r="D21" s="71">
        <v>520000000</v>
      </c>
      <c r="E21" s="71">
        <v>0</v>
      </c>
      <c r="F21" s="70"/>
      <c r="G21" s="53"/>
    </row>
    <row r="22" spans="1:7" ht="63">
      <c r="A22" s="14"/>
      <c r="B22" s="34" t="s">
        <v>171</v>
      </c>
      <c r="C22" s="8">
        <v>520000000</v>
      </c>
      <c r="D22" s="8">
        <v>520000000</v>
      </c>
      <c r="E22" s="50">
        <v>0</v>
      </c>
      <c r="F22" s="67" t="s">
        <v>172</v>
      </c>
      <c r="G22" s="31"/>
    </row>
    <row r="23" spans="1:7" s="76" customFormat="1">
      <c r="A23" s="72">
        <v>5</v>
      </c>
      <c r="B23" s="73" t="s">
        <v>173</v>
      </c>
      <c r="C23" s="74">
        <v>152290480000</v>
      </c>
      <c r="D23" s="74">
        <v>57690000000</v>
      </c>
      <c r="E23" s="74">
        <v>94600480000</v>
      </c>
      <c r="F23" s="247"/>
      <c r="G23" s="75"/>
    </row>
    <row r="24" spans="1:7" s="76" customFormat="1" ht="94.5">
      <c r="A24" s="48" t="s">
        <v>174</v>
      </c>
      <c r="B24" s="75" t="s">
        <v>175</v>
      </c>
      <c r="C24" s="77">
        <v>94600480000</v>
      </c>
      <c r="D24" s="77">
        <v>0</v>
      </c>
      <c r="E24" s="50">
        <v>94600480000</v>
      </c>
      <c r="F24" s="247" t="s">
        <v>176</v>
      </c>
      <c r="G24" s="268" t="s">
        <v>256</v>
      </c>
    </row>
    <row r="25" spans="1:7" s="82" customFormat="1" ht="47.25">
      <c r="A25" s="78"/>
      <c r="B25" s="79" t="s">
        <v>177</v>
      </c>
      <c r="C25" s="36">
        <v>72869480000</v>
      </c>
      <c r="D25" s="36"/>
      <c r="E25" s="50">
        <v>72869480000</v>
      </c>
      <c r="F25" s="80" t="s">
        <v>178</v>
      </c>
      <c r="G25" s="81"/>
    </row>
    <row r="26" spans="1:7" s="82" customFormat="1" ht="31.5">
      <c r="A26" s="78"/>
      <c r="B26" s="79" t="s">
        <v>179</v>
      </c>
      <c r="C26" s="36">
        <v>9888000000</v>
      </c>
      <c r="D26" s="36"/>
      <c r="E26" s="50">
        <v>9888000000</v>
      </c>
      <c r="F26" s="80" t="s">
        <v>180</v>
      </c>
      <c r="G26" s="81"/>
    </row>
    <row r="27" spans="1:7" s="82" customFormat="1" ht="47.25">
      <c r="A27" s="78"/>
      <c r="B27" s="20" t="s">
        <v>181</v>
      </c>
      <c r="C27" s="36">
        <v>8721000000</v>
      </c>
      <c r="D27" s="36"/>
      <c r="E27" s="50">
        <v>8721000000</v>
      </c>
      <c r="F27" s="80" t="s">
        <v>182</v>
      </c>
      <c r="G27" s="81"/>
    </row>
    <row r="28" spans="1:7" s="82" customFormat="1">
      <c r="A28" s="78"/>
      <c r="B28" s="20" t="s">
        <v>183</v>
      </c>
      <c r="C28" s="36">
        <v>3122000000</v>
      </c>
      <c r="D28" s="36"/>
      <c r="E28" s="50">
        <v>3122000000</v>
      </c>
      <c r="F28" s="248" t="s">
        <v>184</v>
      </c>
      <c r="G28" s="81"/>
    </row>
    <row r="29" spans="1:7" ht="346.5" hidden="1">
      <c r="A29" s="83" t="s">
        <v>185</v>
      </c>
      <c r="B29" s="75" t="s">
        <v>186</v>
      </c>
      <c r="C29" s="33">
        <v>57690000000</v>
      </c>
      <c r="D29" s="33">
        <v>57690000000</v>
      </c>
      <c r="E29" s="50">
        <v>0</v>
      </c>
      <c r="F29" s="13" t="s">
        <v>187</v>
      </c>
      <c r="G29" s="84"/>
    </row>
    <row r="30" spans="1:7" s="32" customFormat="1" ht="157.5">
      <c r="A30" s="16">
        <v>6</v>
      </c>
      <c r="B30" s="85" t="s">
        <v>53</v>
      </c>
      <c r="C30" s="71">
        <v>5773000000</v>
      </c>
      <c r="D30" s="71">
        <v>5773000000</v>
      </c>
      <c r="E30" s="50">
        <v>0</v>
      </c>
      <c r="F30" s="67" t="s">
        <v>249</v>
      </c>
      <c r="G30" s="31"/>
    </row>
  </sheetData>
  <mergeCells count="3">
    <mergeCell ref="A2:G2"/>
    <mergeCell ref="A3:G3"/>
    <mergeCell ref="E1:F1"/>
  </mergeCells>
  <printOptions horizontalCentered="1"/>
  <pageMargins left="0.196850393700787" right="0.196850393700787" top="0.31496062992126" bottom="0.39370078740157499" header="0.31496062992126" footer="0.31496062992126"/>
  <pageSetup paperSize="9" scale="85" orientation="landscape"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63"/>
  <sheetViews>
    <sheetView zoomScale="70" zoomScaleNormal="70" workbookViewId="0">
      <pane xSplit="3" ySplit="7" topLeftCell="D52" activePane="bottomRight" state="frozen"/>
      <selection activeCell="I65" sqref="I65"/>
      <selection pane="topRight" activeCell="I65" sqref="I65"/>
      <selection pane="bottomLeft" activeCell="I65" sqref="I65"/>
      <selection pane="bottomRight" activeCell="A3" sqref="A3:I3"/>
    </sheetView>
  </sheetViews>
  <sheetFormatPr defaultColWidth="9.140625" defaultRowHeight="15.75"/>
  <cols>
    <col min="1" max="1" width="5.5703125" style="491" customWidth="1"/>
    <col min="2" max="2" width="38.42578125" style="280" customWidth="1"/>
    <col min="3" max="3" width="46.140625" style="280" customWidth="1"/>
    <col min="4" max="4" width="19.140625" style="280" customWidth="1"/>
    <col min="5" max="5" width="47.85546875" style="280" hidden="1" customWidth="1"/>
    <col min="6" max="6" width="20.28515625" style="492" customWidth="1"/>
    <col min="7" max="7" width="17.85546875" style="286" customWidth="1"/>
    <col min="8" max="8" width="8.7109375" style="494" customWidth="1"/>
    <col min="9" max="9" width="21.140625" style="493" customWidth="1"/>
    <col min="10" max="10" width="10.140625" style="493" customWidth="1"/>
    <col min="11" max="16384" width="9.140625" style="280"/>
  </cols>
  <sheetData>
    <row r="1" spans="1:10">
      <c r="A1" s="280"/>
      <c r="F1" s="1070" t="s">
        <v>265</v>
      </c>
      <c r="G1" s="1070"/>
      <c r="H1" s="1070"/>
      <c r="I1" s="1070"/>
      <c r="J1" s="281"/>
    </row>
    <row r="2" spans="1:10">
      <c r="A2" s="1071" t="s">
        <v>1089</v>
      </c>
      <c r="B2" s="1071"/>
      <c r="C2" s="1071"/>
      <c r="D2" s="1071"/>
      <c r="E2" s="1071"/>
      <c r="F2" s="1071"/>
      <c r="G2" s="1071"/>
      <c r="H2" s="1071"/>
      <c r="I2" s="1071"/>
      <c r="J2" s="282"/>
    </row>
    <row r="3" spans="1:10">
      <c r="A3" s="1072" t="s">
        <v>514</v>
      </c>
      <c r="B3" s="1072"/>
      <c r="C3" s="1072"/>
      <c r="D3" s="1072"/>
      <c r="E3" s="1072"/>
      <c r="F3" s="1072"/>
      <c r="G3" s="1072"/>
      <c r="H3" s="1072"/>
      <c r="I3" s="1072"/>
      <c r="J3" s="283"/>
    </row>
    <row r="4" spans="1:10">
      <c r="A4" s="4"/>
      <c r="B4" s="4"/>
      <c r="C4" s="4"/>
      <c r="D4" s="284"/>
      <c r="E4" s="285" t="s">
        <v>266</v>
      </c>
      <c r="F4" s="285"/>
      <c r="H4" s="286"/>
      <c r="I4" s="280"/>
      <c r="J4" s="280"/>
    </row>
    <row r="5" spans="1:10" ht="47.25">
      <c r="A5" s="277" t="s">
        <v>0</v>
      </c>
      <c r="B5" s="277" t="s">
        <v>1</v>
      </c>
      <c r="C5" s="277" t="s">
        <v>122</v>
      </c>
      <c r="D5" s="277" t="s">
        <v>2</v>
      </c>
      <c r="E5" s="277" t="s">
        <v>151</v>
      </c>
      <c r="F5" s="253" t="s">
        <v>250</v>
      </c>
      <c r="G5" s="253" t="s">
        <v>251</v>
      </c>
      <c r="H5" s="253" t="s">
        <v>252</v>
      </c>
      <c r="I5" s="277" t="s">
        <v>3</v>
      </c>
      <c r="J5" s="287"/>
    </row>
    <row r="6" spans="1:10" hidden="1">
      <c r="A6" s="277"/>
      <c r="B6" s="277"/>
      <c r="C6" s="277"/>
      <c r="D6" s="288"/>
      <c r="E6" s="288"/>
      <c r="F6" s="289"/>
      <c r="G6" s="289"/>
      <c r="H6" s="253"/>
      <c r="I6" s="288"/>
      <c r="J6" s="287"/>
    </row>
    <row r="7" spans="1:10" ht="24" customHeight="1">
      <c r="A7" s="290" t="s">
        <v>267</v>
      </c>
      <c r="B7" s="291"/>
      <c r="C7" s="277"/>
      <c r="D7" s="292">
        <f>D8+D18</f>
        <v>152076864865.10181</v>
      </c>
      <c r="E7" s="289">
        <f t="shared" ref="E7:G7" si="0">E8+E18</f>
        <v>0</v>
      </c>
      <c r="F7" s="292">
        <f t="shared" si="0"/>
        <v>135958238023.73586</v>
      </c>
      <c r="G7" s="292">
        <f t="shared" si="0"/>
        <v>16118626841.365978</v>
      </c>
      <c r="H7" s="293">
        <f>+F7/D7</f>
        <v>0.89401000043192758</v>
      </c>
      <c r="I7" s="288"/>
      <c r="J7" s="287"/>
    </row>
    <row r="8" spans="1:10">
      <c r="A8" s="294" t="s">
        <v>4</v>
      </c>
      <c r="B8" s="295" t="s">
        <v>124</v>
      </c>
      <c r="C8" s="294"/>
      <c r="D8" s="296">
        <f>D9+D14+D15+D16+D17</f>
        <v>20291604707.242294</v>
      </c>
      <c r="E8" s="297">
        <f t="shared" ref="E8:G8" si="1">E9+E14+E15+E16+E17</f>
        <v>0</v>
      </c>
      <c r="F8" s="296">
        <f t="shared" si="1"/>
        <v>20288718707.242294</v>
      </c>
      <c r="G8" s="296">
        <f t="shared" si="1"/>
        <v>2886000</v>
      </c>
      <c r="H8" s="298">
        <f t="shared" ref="H8:H17" si="2">+F8/D8</f>
        <v>0.99985777369303031</v>
      </c>
      <c r="I8" s="294"/>
      <c r="J8" s="287"/>
    </row>
    <row r="9" spans="1:10">
      <c r="A9" s="23" t="s">
        <v>6</v>
      </c>
      <c r="B9" s="24" t="s">
        <v>117</v>
      </c>
      <c r="C9" s="23"/>
      <c r="D9" s="254">
        <f>SUM(D10:D13)</f>
        <v>18988027677.242294</v>
      </c>
      <c r="E9" s="256">
        <f t="shared" ref="E9:G9" si="3">SUM(E10:E13)</f>
        <v>0</v>
      </c>
      <c r="F9" s="254">
        <f t="shared" si="3"/>
        <v>18988027677.242294</v>
      </c>
      <c r="G9" s="254">
        <f t="shared" si="3"/>
        <v>0</v>
      </c>
      <c r="H9" s="299">
        <f t="shared" si="2"/>
        <v>1</v>
      </c>
      <c r="I9" s="23"/>
      <c r="J9" s="300"/>
    </row>
    <row r="10" spans="1:10" s="303" customFormat="1">
      <c r="A10" s="25"/>
      <c r="B10" s="26" t="s">
        <v>125</v>
      </c>
      <c r="C10" s="27"/>
      <c r="D10" s="255">
        <f>'[2]KQ_PL01 (31.3,20)'!E54</f>
        <v>692542169.76229417</v>
      </c>
      <c r="E10" s="288"/>
      <c r="F10" s="255">
        <f>'[2]KQ_PL01 (31.3,20)'!R54</f>
        <v>692542169.76229417</v>
      </c>
      <c r="G10" s="301">
        <f t="shared" ref="G10:G17" si="4">+D10-F10</f>
        <v>0</v>
      </c>
      <c r="H10" s="299">
        <f t="shared" si="2"/>
        <v>1</v>
      </c>
      <c r="I10" s="25"/>
      <c r="J10" s="302"/>
    </row>
    <row r="11" spans="1:10" s="303" customFormat="1">
      <c r="A11" s="25"/>
      <c r="B11" s="26" t="s">
        <v>126</v>
      </c>
      <c r="C11" s="27"/>
      <c r="D11" s="255">
        <f>'[2]KQ_PL01 (31.3,20)'!F54</f>
        <v>5435235500.4799995</v>
      </c>
      <c r="E11" s="288"/>
      <c r="F11" s="255">
        <f>'[2]KQ_PL01 (31.3,20)'!S54</f>
        <v>5435235500.4799995</v>
      </c>
      <c r="G11" s="301">
        <f t="shared" si="4"/>
        <v>0</v>
      </c>
      <c r="H11" s="299">
        <f t="shared" si="2"/>
        <v>1</v>
      </c>
      <c r="I11" s="25"/>
      <c r="J11" s="302"/>
    </row>
    <row r="12" spans="1:10" s="303" customFormat="1">
      <c r="A12" s="25"/>
      <c r="B12" s="26" t="s">
        <v>268</v>
      </c>
      <c r="C12" s="27"/>
      <c r="D12" s="255">
        <f>'[2]KQ_PL01 (31.3,20)'!G54</f>
        <v>12851740007</v>
      </c>
      <c r="E12" s="288"/>
      <c r="F12" s="255">
        <f>'[2]KQ_PL01 (31.3,20)'!T54</f>
        <v>12851740007</v>
      </c>
      <c r="G12" s="301">
        <f t="shared" si="4"/>
        <v>0</v>
      </c>
      <c r="H12" s="299">
        <f t="shared" si="2"/>
        <v>1</v>
      </c>
      <c r="I12" s="25"/>
      <c r="J12" s="302"/>
    </row>
    <row r="13" spans="1:10" s="303" customFormat="1">
      <c r="A13" s="25"/>
      <c r="B13" s="26" t="s">
        <v>269</v>
      </c>
      <c r="C13" s="27"/>
      <c r="D13" s="255">
        <f>'[2]KQ_PL01 (31.3,20)'!I54</f>
        <v>8510000</v>
      </c>
      <c r="E13" s="288"/>
      <c r="F13" s="255">
        <f>'[2]KQ_PL01 (31.3,20)'!V54</f>
        <v>8510000</v>
      </c>
      <c r="G13" s="301">
        <f t="shared" si="4"/>
        <v>0</v>
      </c>
      <c r="H13" s="299">
        <f t="shared" si="2"/>
        <v>1</v>
      </c>
      <c r="I13" s="25"/>
      <c r="J13" s="302"/>
    </row>
    <row r="14" spans="1:10">
      <c r="A14" s="23" t="s">
        <v>46</v>
      </c>
      <c r="B14" s="24" t="s">
        <v>118</v>
      </c>
      <c r="C14" s="28"/>
      <c r="D14" s="254">
        <f>'[2]KQ_PL01 (31.3,20)'!K54</f>
        <v>677382665</v>
      </c>
      <c r="E14" s="288"/>
      <c r="F14" s="254">
        <f>'[2]KQ_PL01 (31.3,20)'!X54</f>
        <v>674496665</v>
      </c>
      <c r="G14" s="301">
        <f t="shared" si="4"/>
        <v>2886000</v>
      </c>
      <c r="H14" s="299">
        <f t="shared" si="2"/>
        <v>0.99573948353107034</v>
      </c>
      <c r="I14" s="23"/>
      <c r="J14" s="304"/>
    </row>
    <row r="15" spans="1:10" hidden="1">
      <c r="A15" s="23" t="s">
        <v>71</v>
      </c>
      <c r="B15" s="24" t="s">
        <v>119</v>
      </c>
      <c r="C15" s="28"/>
      <c r="D15" s="254">
        <f>'[2]KQ_PL01 (31.3,20)'!L54</f>
        <v>23679440</v>
      </c>
      <c r="E15" s="288"/>
      <c r="F15" s="254">
        <f>'[2]KQ_PL01 (31.3,20)'!Y54</f>
        <v>23679440</v>
      </c>
      <c r="G15" s="301">
        <f t="shared" si="4"/>
        <v>0</v>
      </c>
      <c r="H15" s="299">
        <f t="shared" si="2"/>
        <v>1</v>
      </c>
      <c r="I15" s="23"/>
      <c r="J15" s="300"/>
    </row>
    <row r="16" spans="1:10" hidden="1">
      <c r="A16" s="23" t="s">
        <v>270</v>
      </c>
      <c r="B16" s="24" t="s">
        <v>271</v>
      </c>
      <c r="C16" s="28"/>
      <c r="D16" s="254">
        <f>'[2]KQ_PL01 (31.3,20)'!N54</f>
        <v>422862199</v>
      </c>
      <c r="E16" s="288"/>
      <c r="F16" s="254">
        <f>'[2]KQ_PL01 (31.3,20)'!AA54</f>
        <v>422862199</v>
      </c>
      <c r="G16" s="301">
        <f t="shared" si="4"/>
        <v>0</v>
      </c>
      <c r="H16" s="299">
        <f t="shared" si="2"/>
        <v>1</v>
      </c>
      <c r="I16" s="23"/>
      <c r="J16" s="300"/>
    </row>
    <row r="17" spans="1:15" hidden="1">
      <c r="A17" s="23" t="s">
        <v>272</v>
      </c>
      <c r="B17" s="24" t="s">
        <v>273</v>
      </c>
      <c r="C17" s="28"/>
      <c r="D17" s="254">
        <f>'[2]KQ_PL01 (31.3,20)'!O54</f>
        <v>179652726</v>
      </c>
      <c r="E17" s="288"/>
      <c r="F17" s="254">
        <f>'[2]KQ_PL01 (31.3,20)'!AB54</f>
        <v>179652726</v>
      </c>
      <c r="G17" s="301">
        <f t="shared" si="4"/>
        <v>0</v>
      </c>
      <c r="H17" s="299">
        <f t="shared" si="2"/>
        <v>1</v>
      </c>
      <c r="I17" s="23"/>
      <c r="J17" s="300"/>
    </row>
    <row r="18" spans="1:15" ht="20.25" customHeight="1">
      <c r="A18" s="90" t="s">
        <v>90</v>
      </c>
      <c r="B18" s="29" t="s">
        <v>127</v>
      </c>
      <c r="C18" s="305"/>
      <c r="D18" s="306">
        <v>131785260157.85953</v>
      </c>
      <c r="E18" s="288"/>
      <c r="F18" s="306">
        <v>115669519316.49356</v>
      </c>
      <c r="G18" s="306">
        <v>16115740841.365978</v>
      </c>
      <c r="H18" s="307">
        <f>+F18/D18</f>
        <v>0.87771211422232154</v>
      </c>
      <c r="I18" s="308"/>
      <c r="J18" s="309"/>
    </row>
    <row r="19" spans="1:15" ht="20.25" customHeight="1">
      <c r="A19" s="310" t="s">
        <v>6</v>
      </c>
      <c r="B19" s="311" t="s">
        <v>274</v>
      </c>
      <c r="C19" s="219"/>
      <c r="D19" s="312">
        <v>1942796668.4156237</v>
      </c>
      <c r="E19" s="313"/>
      <c r="F19" s="312">
        <v>1942796668.0908995</v>
      </c>
      <c r="G19" s="312">
        <v>0.32472412474453449</v>
      </c>
      <c r="H19" s="307">
        <f>+F19/D19</f>
        <v>0.99999999983285737</v>
      </c>
      <c r="I19" s="308"/>
      <c r="J19" s="309"/>
    </row>
    <row r="20" spans="1:15" s="303" customFormat="1" ht="20.25" hidden="1" customHeight="1">
      <c r="A20" s="314" t="s">
        <v>275</v>
      </c>
      <c r="B20" s="315" t="s">
        <v>13</v>
      </c>
      <c r="C20" s="242"/>
      <c r="D20" s="316">
        <f>+D21+D26+D24</f>
        <v>445287000</v>
      </c>
      <c r="E20" s="316"/>
      <c r="F20" s="316">
        <f>+F21+F26+F24</f>
        <v>445287000</v>
      </c>
      <c r="G20" s="316">
        <f>+G21+G26+G24</f>
        <v>0</v>
      </c>
      <c r="H20" s="317">
        <f>+F20/D20</f>
        <v>1</v>
      </c>
      <c r="I20" s="318"/>
      <c r="J20" s="319"/>
    </row>
    <row r="21" spans="1:15" hidden="1">
      <c r="A21" s="320">
        <v>1</v>
      </c>
      <c r="B21" s="321" t="s">
        <v>276</v>
      </c>
      <c r="C21" s="322"/>
      <c r="D21" s="323">
        <f>D22+D23</f>
        <v>262774000</v>
      </c>
      <c r="E21" s="324"/>
      <c r="F21" s="323">
        <f>F22+F23</f>
        <v>262774000</v>
      </c>
      <c r="G21" s="323">
        <f>G22+G23</f>
        <v>0</v>
      </c>
      <c r="H21" s="299">
        <f>+F21/D21</f>
        <v>1</v>
      </c>
      <c r="I21" s="325"/>
      <c r="J21" s="326"/>
      <c r="K21" s="327" t="s">
        <v>277</v>
      </c>
      <c r="L21" s="328"/>
      <c r="M21" s="328"/>
      <c r="N21" s="328"/>
      <c r="O21" s="328"/>
    </row>
    <row r="22" spans="1:15" s="336" customFormat="1" ht="53.25" hidden="1" customHeight="1">
      <c r="A22" s="329" t="s">
        <v>15</v>
      </c>
      <c r="B22" s="330" t="s">
        <v>278</v>
      </c>
      <c r="C22" s="331" t="s">
        <v>279</v>
      </c>
      <c r="D22" s="323">
        <v>54098000</v>
      </c>
      <c r="E22" s="332" t="s">
        <v>279</v>
      </c>
      <c r="F22" s="333">
        <v>54098000</v>
      </c>
      <c r="G22" s="301">
        <f>+D22-F22</f>
        <v>0</v>
      </c>
      <c r="H22" s="299">
        <f t="shared" ref="H22:H46" si="5">+F22/D22</f>
        <v>1</v>
      </c>
      <c r="I22" s="325"/>
      <c r="J22" s="326"/>
      <c r="K22" s="334"/>
      <c r="L22" s="335"/>
      <c r="M22" s="335"/>
      <c r="N22" s="335"/>
      <c r="O22" s="335"/>
    </row>
    <row r="23" spans="1:15" s="336" customFormat="1" ht="34.5" hidden="1" customHeight="1">
      <c r="A23" s="329" t="s">
        <v>18</v>
      </c>
      <c r="B23" s="330" t="s">
        <v>276</v>
      </c>
      <c r="C23" s="337" t="s">
        <v>280</v>
      </c>
      <c r="D23" s="323">
        <v>208676000</v>
      </c>
      <c r="E23" s="332" t="s">
        <v>280</v>
      </c>
      <c r="F23" s="333">
        <v>208676000</v>
      </c>
      <c r="G23" s="301">
        <f>+D23-F23</f>
        <v>0</v>
      </c>
      <c r="H23" s="299">
        <f t="shared" si="5"/>
        <v>1</v>
      </c>
      <c r="I23" s="325"/>
      <c r="J23" s="326"/>
      <c r="K23" s="338"/>
    </row>
    <row r="24" spans="1:15" s="336" customFormat="1" hidden="1">
      <c r="A24" s="329">
        <v>2</v>
      </c>
      <c r="B24" s="321" t="s">
        <v>281</v>
      </c>
      <c r="C24" s="337"/>
      <c r="D24" s="323">
        <f>D25</f>
        <v>143003000</v>
      </c>
      <c r="E24" s="337"/>
      <c r="F24" s="323">
        <f>F25</f>
        <v>143003000</v>
      </c>
      <c r="G24" s="323">
        <f>G25</f>
        <v>0</v>
      </c>
      <c r="H24" s="299">
        <f t="shared" si="5"/>
        <v>1</v>
      </c>
      <c r="I24" s="325"/>
      <c r="J24" s="326"/>
      <c r="K24" s="338"/>
    </row>
    <row r="25" spans="1:15" s="336" customFormat="1" ht="31.5" hidden="1">
      <c r="A25" s="329" t="s">
        <v>24</v>
      </c>
      <c r="B25" s="330" t="s">
        <v>282</v>
      </c>
      <c r="C25" s="337"/>
      <c r="D25" s="323">
        <v>143003000</v>
      </c>
      <c r="E25" s="339" t="s">
        <v>283</v>
      </c>
      <c r="F25" s="333">
        <f>D25</f>
        <v>143003000</v>
      </c>
      <c r="G25" s="301">
        <f>+D25-F25</f>
        <v>0</v>
      </c>
      <c r="H25" s="299">
        <f t="shared" si="5"/>
        <v>1</v>
      </c>
      <c r="I25" s="325"/>
      <c r="J25" s="340" t="s">
        <v>284</v>
      </c>
      <c r="K25" s="338" t="s">
        <v>283</v>
      </c>
    </row>
    <row r="26" spans="1:15" hidden="1">
      <c r="A26" s="23">
        <v>3</v>
      </c>
      <c r="B26" s="341" t="s">
        <v>285</v>
      </c>
      <c r="C26" s="342"/>
      <c r="D26" s="343">
        <f>D27</f>
        <v>39510000</v>
      </c>
      <c r="E26" s="344"/>
      <c r="F26" s="343">
        <f>F27</f>
        <v>39510000</v>
      </c>
      <c r="G26" s="343">
        <f>G27</f>
        <v>0</v>
      </c>
      <c r="H26" s="299">
        <f t="shared" si="5"/>
        <v>1</v>
      </c>
      <c r="I26" s="345"/>
      <c r="J26" s="346"/>
    </row>
    <row r="27" spans="1:15" s="355" customFormat="1" ht="117.75" hidden="1" customHeight="1">
      <c r="A27" s="347" t="s">
        <v>36</v>
      </c>
      <c r="B27" s="330" t="s">
        <v>286</v>
      </c>
      <c r="C27" s="348" t="s">
        <v>287</v>
      </c>
      <c r="D27" s="349">
        <v>39510000</v>
      </c>
      <c r="E27" s="350" t="s">
        <v>287</v>
      </c>
      <c r="F27" s="351">
        <f>D27</f>
        <v>39510000</v>
      </c>
      <c r="G27" s="301">
        <f>+D27-F27</f>
        <v>0</v>
      </c>
      <c r="H27" s="299">
        <f t="shared" si="5"/>
        <v>1</v>
      </c>
      <c r="I27" s="352"/>
      <c r="J27" s="353"/>
      <c r="K27" s="354"/>
    </row>
    <row r="28" spans="1:15" s="335" customFormat="1" hidden="1">
      <c r="A28" s="356" t="s">
        <v>288</v>
      </c>
      <c r="B28" s="315" t="s">
        <v>8</v>
      </c>
      <c r="C28" s="357"/>
      <c r="D28" s="316">
        <f>D29+D32+D33+D37+D42+D46</f>
        <v>1497509668.4156237</v>
      </c>
      <c r="E28" s="316" t="e">
        <f>E29+E32+E33+E37+E42+E46</f>
        <v>#VALUE!</v>
      </c>
      <c r="F28" s="316">
        <f>F29+F32+F33+F37+F42+F46</f>
        <v>1497509668.0908995</v>
      </c>
      <c r="G28" s="316">
        <f>G29+G32+G33+G37+G42+G46</f>
        <v>0.32472412474453449</v>
      </c>
      <c r="H28" s="317">
        <f t="shared" si="5"/>
        <v>0.99999999978315723</v>
      </c>
      <c r="I28" s="358"/>
      <c r="J28" s="359"/>
    </row>
    <row r="29" spans="1:15" s="335" customFormat="1" ht="31.5" hidden="1">
      <c r="A29" s="360">
        <v>1</v>
      </c>
      <c r="B29" s="105" t="s">
        <v>289</v>
      </c>
      <c r="C29" s="361"/>
      <c r="D29" s="343">
        <f>D30+D31</f>
        <v>17248071.890579998</v>
      </c>
      <c r="E29" s="343">
        <f t="shared" ref="E29:G29" si="6">E30+E31</f>
        <v>0</v>
      </c>
      <c r="F29" s="343">
        <f t="shared" si="6"/>
        <v>17248072</v>
      </c>
      <c r="G29" s="343">
        <f t="shared" si="6"/>
        <v>-0.10941999964416027</v>
      </c>
      <c r="H29" s="362">
        <f t="shared" si="5"/>
        <v>1.0000000063438976</v>
      </c>
      <c r="I29" s="358"/>
      <c r="J29" s="359"/>
      <c r="K29" s="303" t="s">
        <v>290</v>
      </c>
    </row>
    <row r="30" spans="1:15" s="335" customFormat="1" ht="47.25" hidden="1">
      <c r="A30" s="363"/>
      <c r="B30" s="102"/>
      <c r="C30" s="364" t="s">
        <v>291</v>
      </c>
      <c r="D30" s="365">
        <v>1248108.8103</v>
      </c>
      <c r="E30" s="366"/>
      <c r="F30" s="367">
        <v>1248109</v>
      </c>
      <c r="G30" s="368">
        <f t="shared" ref="G30:G36" si="7">+D30-F30</f>
        <v>-0.18969999998807907</v>
      </c>
      <c r="H30" s="369">
        <f t="shared" si="5"/>
        <v>1.0000001519899535</v>
      </c>
      <c r="I30" s="358"/>
      <c r="J30" s="359"/>
      <c r="K30" s="303"/>
    </row>
    <row r="31" spans="1:15" s="335" customFormat="1" ht="62.25" hidden="1" customHeight="1">
      <c r="A31" s="363"/>
      <c r="B31" s="102"/>
      <c r="C31" s="364" t="s">
        <v>292</v>
      </c>
      <c r="D31" s="365">
        <v>15999963.08028</v>
      </c>
      <c r="E31" s="366"/>
      <c r="F31" s="367">
        <v>15999963</v>
      </c>
      <c r="G31" s="368">
        <f t="shared" si="7"/>
        <v>8.02800003439188E-2</v>
      </c>
      <c r="H31" s="369">
        <f t="shared" si="5"/>
        <v>0.99999999498248837</v>
      </c>
      <c r="I31" s="358"/>
      <c r="J31" s="359"/>
      <c r="K31" s="303"/>
    </row>
    <row r="32" spans="1:15" s="335" customFormat="1" ht="31.5" hidden="1">
      <c r="A32" s="360">
        <v>2</v>
      </c>
      <c r="B32" s="105" t="s">
        <v>293</v>
      </c>
      <c r="C32" s="370" t="s">
        <v>294</v>
      </c>
      <c r="D32" s="343">
        <v>58450530</v>
      </c>
      <c r="E32" s="366" t="s">
        <v>290</v>
      </c>
      <c r="F32" s="371">
        <v>58450530</v>
      </c>
      <c r="G32" s="301">
        <f t="shared" si="7"/>
        <v>0</v>
      </c>
      <c r="H32" s="362">
        <f>+F32/D32</f>
        <v>1</v>
      </c>
      <c r="I32" s="318"/>
      <c r="J32" s="319"/>
      <c r="K32" s="303" t="s">
        <v>290</v>
      </c>
      <c r="N32" s="372" t="s">
        <v>295</v>
      </c>
    </row>
    <row r="33" spans="1:14" s="335" customFormat="1" hidden="1">
      <c r="A33" s="360">
        <v>3</v>
      </c>
      <c r="B33" s="323" t="s">
        <v>296</v>
      </c>
      <c r="C33" s="337"/>
      <c r="D33" s="323">
        <f>SUM(D34:D36)</f>
        <v>311577036.6032533</v>
      </c>
      <c r="E33" s="323">
        <f t="shared" ref="E33:G33" si="8">SUM(E34:E36)</f>
        <v>0</v>
      </c>
      <c r="F33" s="323">
        <f t="shared" si="8"/>
        <v>311577036.6032533</v>
      </c>
      <c r="G33" s="323">
        <f t="shared" si="8"/>
        <v>0</v>
      </c>
      <c r="H33" s="362">
        <f>+F33/D33</f>
        <v>1</v>
      </c>
      <c r="I33" s="318"/>
      <c r="J33" s="319"/>
      <c r="K33" s="303" t="s">
        <v>290</v>
      </c>
      <c r="N33" s="372" t="s">
        <v>297</v>
      </c>
    </row>
    <row r="34" spans="1:14" s="335" customFormat="1" ht="31.5" hidden="1">
      <c r="A34" s="363"/>
      <c r="B34" s="373"/>
      <c r="C34" s="370" t="s">
        <v>298</v>
      </c>
      <c r="D34" s="373">
        <v>172323000</v>
      </c>
      <c r="E34" s="366"/>
      <c r="F34" s="373">
        <v>172323000</v>
      </c>
      <c r="G34" s="368">
        <f t="shared" si="7"/>
        <v>0</v>
      </c>
      <c r="H34" s="369">
        <f t="shared" si="5"/>
        <v>1</v>
      </c>
      <c r="I34" s="318"/>
      <c r="J34" s="319"/>
      <c r="K34" s="303"/>
      <c r="N34" s="374"/>
    </row>
    <row r="35" spans="1:14" s="335" customFormat="1" ht="31.5" hidden="1">
      <c r="A35" s="363"/>
      <c r="B35" s="373"/>
      <c r="C35" s="370" t="s">
        <v>299</v>
      </c>
      <c r="D35" s="373">
        <v>63224536.60325332</v>
      </c>
      <c r="E35" s="366"/>
      <c r="F35" s="373">
        <v>63224536.60325332</v>
      </c>
      <c r="G35" s="368">
        <f t="shared" si="7"/>
        <v>0</v>
      </c>
      <c r="H35" s="369">
        <f t="shared" si="5"/>
        <v>1</v>
      </c>
      <c r="I35" s="318"/>
      <c r="J35" s="319"/>
      <c r="K35" s="303"/>
      <c r="N35" s="374"/>
    </row>
    <row r="36" spans="1:14" s="335" customFormat="1" ht="54" hidden="1" customHeight="1">
      <c r="A36" s="363"/>
      <c r="B36" s="373"/>
      <c r="C36" s="370" t="s">
        <v>300</v>
      </c>
      <c r="D36" s="373">
        <v>76029500</v>
      </c>
      <c r="E36" s="366"/>
      <c r="F36" s="373">
        <v>76029500</v>
      </c>
      <c r="G36" s="368">
        <f t="shared" si="7"/>
        <v>0</v>
      </c>
      <c r="H36" s="369">
        <f t="shared" si="5"/>
        <v>1</v>
      </c>
      <c r="I36" s="318"/>
      <c r="J36" s="319"/>
      <c r="K36" s="303"/>
      <c r="N36" s="374"/>
    </row>
    <row r="37" spans="1:14" s="335" customFormat="1" hidden="1">
      <c r="A37" s="360">
        <v>4</v>
      </c>
      <c r="B37" s="323" t="s">
        <v>301</v>
      </c>
      <c r="C37" s="375"/>
      <c r="D37" s="323">
        <f>SUM(D38:D41)</f>
        <v>856016938.06429958</v>
      </c>
      <c r="E37" s="323">
        <f t="shared" ref="E37:G37" si="9">SUM(E38:E41)</f>
        <v>0</v>
      </c>
      <c r="F37" s="323">
        <f t="shared" si="9"/>
        <v>856016938</v>
      </c>
      <c r="G37" s="323">
        <f t="shared" si="9"/>
        <v>6.4299508929252625E-2</v>
      </c>
      <c r="H37" s="362">
        <f t="shared" si="5"/>
        <v>0.9999999999248852</v>
      </c>
      <c r="I37" s="358"/>
      <c r="J37" s="359"/>
      <c r="K37" s="303"/>
    </row>
    <row r="38" spans="1:14" s="381" customFormat="1" ht="36" hidden="1" customHeight="1">
      <c r="A38" s="376"/>
      <c r="B38" s="377"/>
      <c r="C38" s="370" t="s">
        <v>302</v>
      </c>
      <c r="D38" s="378">
        <v>82870000</v>
      </c>
      <c r="E38" s="379"/>
      <c r="F38" s="380">
        <f>82870000</f>
        <v>82870000</v>
      </c>
      <c r="G38" s="368">
        <f t="shared" ref="G38:G41" si="10">+D38-F38</f>
        <v>0</v>
      </c>
      <c r="H38" s="369">
        <f t="shared" si="5"/>
        <v>1</v>
      </c>
      <c r="I38" s="358"/>
      <c r="J38" s="359"/>
      <c r="K38" s="303"/>
    </row>
    <row r="39" spans="1:14" s="381" customFormat="1" ht="36" hidden="1" customHeight="1">
      <c r="A39" s="376"/>
      <c r="B39" s="377"/>
      <c r="C39" s="370" t="s">
        <v>303</v>
      </c>
      <c r="D39" s="378">
        <v>73283595.753442809</v>
      </c>
      <c r="E39" s="379"/>
      <c r="F39" s="380">
        <v>73283596</v>
      </c>
      <c r="G39" s="368">
        <f t="shared" si="10"/>
        <v>-0.24655719101428986</v>
      </c>
      <c r="H39" s="369">
        <f t="shared" si="5"/>
        <v>1.0000000033644254</v>
      </c>
      <c r="I39" s="358"/>
      <c r="J39" s="359"/>
      <c r="K39" s="303"/>
    </row>
    <row r="40" spans="1:14" s="381" customFormat="1" hidden="1">
      <c r="A40" s="376"/>
      <c r="B40" s="377"/>
      <c r="C40" s="370" t="s">
        <v>304</v>
      </c>
      <c r="D40" s="378">
        <v>195010342.3108567</v>
      </c>
      <c r="E40" s="379"/>
      <c r="F40" s="380">
        <v>195010342</v>
      </c>
      <c r="G40" s="368">
        <f t="shared" si="10"/>
        <v>0.31085669994354248</v>
      </c>
      <c r="H40" s="369">
        <f t="shared" si="5"/>
        <v>0.99999999840594767</v>
      </c>
      <c r="I40" s="358"/>
      <c r="J40" s="359"/>
      <c r="K40" s="303"/>
    </row>
    <row r="41" spans="1:14" s="381" customFormat="1" ht="39.75" hidden="1" customHeight="1">
      <c r="A41" s="376"/>
      <c r="B41" s="377"/>
      <c r="C41" s="370" t="s">
        <v>305</v>
      </c>
      <c r="D41" s="378">
        <v>504853000</v>
      </c>
      <c r="E41" s="379"/>
      <c r="F41" s="380">
        <v>504853000</v>
      </c>
      <c r="G41" s="368">
        <f t="shared" si="10"/>
        <v>0</v>
      </c>
      <c r="H41" s="369">
        <f t="shared" si="5"/>
        <v>1</v>
      </c>
      <c r="I41" s="358"/>
      <c r="J41" s="359"/>
      <c r="K41" s="303"/>
    </row>
    <row r="42" spans="1:14" s="335" customFormat="1" hidden="1">
      <c r="A42" s="360">
        <v>5</v>
      </c>
      <c r="B42" s="343" t="s">
        <v>306</v>
      </c>
      <c r="C42" s="337"/>
      <c r="D42" s="323">
        <f>SUM(D43:D45)</f>
        <v>112877091.85749072</v>
      </c>
      <c r="E42" s="323">
        <f t="shared" ref="E42:G42" si="11">SUM(E43:E45)</f>
        <v>0</v>
      </c>
      <c r="F42" s="323">
        <f t="shared" si="11"/>
        <v>112877091.4876461</v>
      </c>
      <c r="G42" s="323">
        <f t="shared" si="11"/>
        <v>0.36984461545944214</v>
      </c>
      <c r="H42" s="362">
        <f>+F42/D42</f>
        <v>0.99999999672347495</v>
      </c>
      <c r="I42" s="318"/>
      <c r="J42" s="319"/>
      <c r="K42" s="303" t="s">
        <v>290</v>
      </c>
      <c r="N42" s="372" t="s">
        <v>307</v>
      </c>
    </row>
    <row r="43" spans="1:14" s="335" customFormat="1" ht="38.25" hidden="1" customHeight="1">
      <c r="A43" s="363"/>
      <c r="B43" s="365"/>
      <c r="C43" s="370" t="s">
        <v>308</v>
      </c>
      <c r="D43" s="373">
        <v>32485922</v>
      </c>
      <c r="E43" s="366"/>
      <c r="F43" s="367">
        <v>32485922</v>
      </c>
      <c r="G43" s="368">
        <f t="shared" ref="G43:G45" si="12">+D43-F43</f>
        <v>0</v>
      </c>
      <c r="H43" s="369">
        <f t="shared" si="5"/>
        <v>1</v>
      </c>
      <c r="I43" s="318"/>
      <c r="J43" s="319"/>
      <c r="K43" s="303"/>
      <c r="N43" s="374"/>
    </row>
    <row r="44" spans="1:14" s="335" customFormat="1" ht="36.75" hidden="1" customHeight="1">
      <c r="A44" s="363"/>
      <c r="B44" s="365"/>
      <c r="C44" s="370" t="s">
        <v>309</v>
      </c>
      <c r="D44" s="373">
        <v>32078137.487646103</v>
      </c>
      <c r="E44" s="366"/>
      <c r="F44" s="367">
        <v>32078137.487646103</v>
      </c>
      <c r="G44" s="368">
        <f t="shared" si="12"/>
        <v>0</v>
      </c>
      <c r="H44" s="369">
        <f t="shared" si="5"/>
        <v>1</v>
      </c>
      <c r="I44" s="318"/>
      <c r="J44" s="319"/>
      <c r="K44" s="303"/>
      <c r="N44" s="374"/>
    </row>
    <row r="45" spans="1:14" s="335" customFormat="1" ht="38.25" hidden="1" customHeight="1">
      <c r="A45" s="363"/>
      <c r="B45" s="365"/>
      <c r="C45" s="370" t="s">
        <v>310</v>
      </c>
      <c r="D45" s="373">
        <v>48313032.369844615</v>
      </c>
      <c r="E45" s="366"/>
      <c r="F45" s="367">
        <v>48313032</v>
      </c>
      <c r="G45" s="368">
        <f t="shared" si="12"/>
        <v>0.36984461545944214</v>
      </c>
      <c r="H45" s="369">
        <f t="shared" si="5"/>
        <v>0.99999999234482706</v>
      </c>
      <c r="I45" s="318"/>
      <c r="J45" s="319"/>
      <c r="K45" s="303"/>
      <c r="N45" s="374"/>
    </row>
    <row r="46" spans="1:14" s="335" customFormat="1" ht="20.25" hidden="1" customHeight="1">
      <c r="A46" s="360">
        <v>6</v>
      </c>
      <c r="B46" s="343" t="s">
        <v>311</v>
      </c>
      <c r="C46" s="370" t="s">
        <v>312</v>
      </c>
      <c r="D46" s="323">
        <v>141340000</v>
      </c>
      <c r="E46" s="382" t="e">
        <f>#REF!</f>
        <v>#REF!</v>
      </c>
      <c r="F46" s="323">
        <v>141340000</v>
      </c>
      <c r="G46" s="323">
        <f>D46-F46</f>
        <v>0</v>
      </c>
      <c r="H46" s="362">
        <f t="shared" si="5"/>
        <v>1</v>
      </c>
      <c r="I46" s="358"/>
      <c r="J46" s="359"/>
      <c r="K46" s="303" t="s">
        <v>290</v>
      </c>
      <c r="M46" s="335" t="s">
        <v>313</v>
      </c>
    </row>
    <row r="47" spans="1:14" s="328" customFormat="1" ht="31.5">
      <c r="A47" s="310" t="s">
        <v>46</v>
      </c>
      <c r="B47" s="311" t="s">
        <v>314</v>
      </c>
      <c r="C47" s="383"/>
      <c r="D47" s="384">
        <v>3348705000</v>
      </c>
      <c r="E47" s="385"/>
      <c r="F47" s="384">
        <v>1543291391.9999988</v>
      </c>
      <c r="G47" s="384">
        <v>1805413608.0000012</v>
      </c>
      <c r="H47" s="298">
        <f>+F47/D47</f>
        <v>0.46086215178703371</v>
      </c>
      <c r="I47" s="386"/>
      <c r="J47" s="387"/>
    </row>
    <row r="48" spans="1:14" s="335" customFormat="1" ht="31.5">
      <c r="A48" s="360">
        <v>1</v>
      </c>
      <c r="B48" s="343" t="s">
        <v>315</v>
      </c>
      <c r="C48" s="337" t="s">
        <v>316</v>
      </c>
      <c r="D48" s="323">
        <v>2722700000</v>
      </c>
      <c r="E48" s="388" t="s">
        <v>317</v>
      </c>
      <c r="F48" s="371">
        <v>917286391.99999881</v>
      </c>
      <c r="G48" s="301">
        <v>1805413608.0000012</v>
      </c>
      <c r="H48" s="299">
        <f>+F48/D48</f>
        <v>0.3369032181290626</v>
      </c>
      <c r="I48" s="318"/>
      <c r="J48" s="319"/>
      <c r="K48" s="372"/>
      <c r="M48" s="303"/>
    </row>
    <row r="49" spans="1:13" s="335" customFormat="1">
      <c r="A49" s="360">
        <v>2</v>
      </c>
      <c r="B49" s="323" t="s">
        <v>301</v>
      </c>
      <c r="C49" s="337" t="s">
        <v>318</v>
      </c>
      <c r="D49" s="345">
        <v>566175000</v>
      </c>
      <c r="E49" s="389" t="s">
        <v>319</v>
      </c>
      <c r="F49" s="371">
        <v>566175000</v>
      </c>
      <c r="G49" s="301">
        <v>0</v>
      </c>
      <c r="H49" s="299">
        <f>+F49/D49</f>
        <v>1</v>
      </c>
      <c r="I49" s="358"/>
      <c r="J49" s="359"/>
    </row>
    <row r="50" spans="1:13">
      <c r="A50" s="390">
        <v>3</v>
      </c>
      <c r="B50" s="343" t="s">
        <v>311</v>
      </c>
      <c r="C50" s="337" t="s">
        <v>318</v>
      </c>
      <c r="D50" s="323">
        <v>59830000</v>
      </c>
      <c r="E50" s="389" t="s">
        <v>319</v>
      </c>
      <c r="F50" s="333">
        <v>59830000</v>
      </c>
      <c r="G50" s="301">
        <v>0</v>
      </c>
      <c r="H50" s="299">
        <f>+F50/D50</f>
        <v>1</v>
      </c>
      <c r="I50" s="308"/>
      <c r="J50" s="309"/>
      <c r="M50" s="335"/>
    </row>
    <row r="51" spans="1:13">
      <c r="A51" s="310" t="s">
        <v>71</v>
      </c>
      <c r="B51" s="311" t="s">
        <v>320</v>
      </c>
      <c r="C51" s="305"/>
      <c r="D51" s="384"/>
      <c r="E51" s="211"/>
      <c r="F51" s="384"/>
      <c r="G51" s="384"/>
      <c r="H51" s="298"/>
      <c r="I51" s="308"/>
      <c r="J51" s="309"/>
    </row>
    <row r="52" spans="1:13" s="328" customFormat="1">
      <c r="A52" s="391" t="s">
        <v>270</v>
      </c>
      <c r="B52" s="392" t="s">
        <v>321</v>
      </c>
      <c r="C52" s="393"/>
      <c r="D52" s="312">
        <v>21844489381</v>
      </c>
      <c r="E52" s="219"/>
      <c r="F52" s="312">
        <v>21844489381</v>
      </c>
      <c r="G52" s="312">
        <v>0</v>
      </c>
      <c r="H52" s="298">
        <f t="shared" ref="H52:H64" si="13">+F52/D52</f>
        <v>1</v>
      </c>
      <c r="I52" s="386"/>
      <c r="J52" s="387"/>
    </row>
    <row r="53" spans="1:13" s="335" customFormat="1" hidden="1">
      <c r="A53" s="394" t="s">
        <v>322</v>
      </c>
      <c r="B53" s="395" t="s">
        <v>52</v>
      </c>
      <c r="C53" s="396"/>
      <c r="D53" s="316">
        <f>D54+D55+D56+D57+D58+D59+D60+D61+D62</f>
        <v>7644863381</v>
      </c>
      <c r="E53" s="242"/>
      <c r="F53" s="316">
        <f>F54+F55+F56+F57+F58+F59+F60+F61+F62</f>
        <v>7644863381</v>
      </c>
      <c r="G53" s="316">
        <f>G54+G55+G56+G57+G58+G59+G60+G61+G62</f>
        <v>0</v>
      </c>
      <c r="H53" s="397">
        <f t="shared" si="13"/>
        <v>1</v>
      </c>
      <c r="I53" s="358"/>
      <c r="J53" s="359"/>
    </row>
    <row r="54" spans="1:13" ht="182.25" hidden="1" customHeight="1">
      <c r="A54" s="329">
        <v>1</v>
      </c>
      <c r="B54" s="322" t="s">
        <v>39</v>
      </c>
      <c r="C54" s="342" t="s">
        <v>323</v>
      </c>
      <c r="D54" s="343">
        <v>323200000</v>
      </c>
      <c r="E54" s="344" t="s">
        <v>323</v>
      </c>
      <c r="F54" s="254">
        <v>323200000</v>
      </c>
      <c r="G54" s="301">
        <f t="shared" ref="G54:G61" si="14">+D54-F54</f>
        <v>0</v>
      </c>
      <c r="H54" s="299">
        <f t="shared" si="13"/>
        <v>1</v>
      </c>
      <c r="I54" s="308"/>
      <c r="J54" s="309"/>
      <c r="L54" s="398" t="s">
        <v>324</v>
      </c>
    </row>
    <row r="55" spans="1:13" ht="146.25" hidden="1" customHeight="1">
      <c r="A55" s="329">
        <v>2</v>
      </c>
      <c r="B55" s="322" t="s">
        <v>112</v>
      </c>
      <c r="C55" s="342" t="s">
        <v>325</v>
      </c>
      <c r="D55" s="343">
        <v>262600000</v>
      </c>
      <c r="E55" s="344" t="s">
        <v>325</v>
      </c>
      <c r="F55" s="254">
        <v>262600000</v>
      </c>
      <c r="G55" s="301">
        <f t="shared" si="14"/>
        <v>0</v>
      </c>
      <c r="H55" s="299">
        <f t="shared" si="13"/>
        <v>1</v>
      </c>
      <c r="I55" s="308"/>
      <c r="J55" s="309"/>
      <c r="M55" s="398" t="s">
        <v>326</v>
      </c>
    </row>
    <row r="56" spans="1:13" ht="130.5" hidden="1" customHeight="1">
      <c r="A56" s="329">
        <v>3</v>
      </c>
      <c r="B56" s="322" t="s">
        <v>327</v>
      </c>
      <c r="C56" s="342" t="s">
        <v>328</v>
      </c>
      <c r="D56" s="343">
        <v>169000000</v>
      </c>
      <c r="E56" s="344" t="s">
        <v>328</v>
      </c>
      <c r="F56" s="254">
        <v>169000000</v>
      </c>
      <c r="G56" s="301">
        <f t="shared" si="14"/>
        <v>0</v>
      </c>
      <c r="H56" s="299">
        <f t="shared" si="13"/>
        <v>1</v>
      </c>
      <c r="I56" s="308"/>
      <c r="J56" s="309"/>
      <c r="M56" s="398" t="s">
        <v>329</v>
      </c>
    </row>
    <row r="57" spans="1:13" ht="398.25" hidden="1" customHeight="1">
      <c r="A57" s="329">
        <v>4</v>
      </c>
      <c r="B57" s="322" t="s">
        <v>73</v>
      </c>
      <c r="C57" s="342" t="s">
        <v>330</v>
      </c>
      <c r="D57" s="343">
        <v>1644519300</v>
      </c>
      <c r="E57" s="344" t="s">
        <v>330</v>
      </c>
      <c r="F57" s="254">
        <v>1644519300</v>
      </c>
      <c r="G57" s="301">
        <f t="shared" si="14"/>
        <v>0</v>
      </c>
      <c r="H57" s="299">
        <f t="shared" si="13"/>
        <v>1</v>
      </c>
      <c r="I57" s="308"/>
      <c r="J57" s="309"/>
    </row>
    <row r="58" spans="1:13" ht="32.25" hidden="1" customHeight="1">
      <c r="A58" s="329">
        <v>5</v>
      </c>
      <c r="B58" s="322" t="s">
        <v>285</v>
      </c>
      <c r="C58" s="342" t="s">
        <v>331</v>
      </c>
      <c r="D58" s="343">
        <v>446192480</v>
      </c>
      <c r="E58" s="344" t="s">
        <v>331</v>
      </c>
      <c r="F58" s="254">
        <v>446192480</v>
      </c>
      <c r="G58" s="301">
        <f t="shared" si="14"/>
        <v>0</v>
      </c>
      <c r="H58" s="299">
        <f t="shared" si="13"/>
        <v>1</v>
      </c>
      <c r="I58" s="398"/>
      <c r="J58" s="398"/>
      <c r="K58" s="398" t="s">
        <v>295</v>
      </c>
    </row>
    <row r="59" spans="1:13" ht="353.25" hidden="1" customHeight="1">
      <c r="A59" s="329">
        <v>6</v>
      </c>
      <c r="B59" s="322" t="s">
        <v>332</v>
      </c>
      <c r="C59" s="399" t="s">
        <v>333</v>
      </c>
      <c r="D59" s="343">
        <v>4551652501</v>
      </c>
      <c r="E59" s="400" t="s">
        <v>334</v>
      </c>
      <c r="F59" s="254">
        <f>D59</f>
        <v>4551652501</v>
      </c>
      <c r="G59" s="301">
        <f t="shared" si="14"/>
        <v>0</v>
      </c>
      <c r="H59" s="299">
        <f t="shared" si="13"/>
        <v>1</v>
      </c>
      <c r="I59" s="308"/>
      <c r="J59" s="309" t="s">
        <v>335</v>
      </c>
    </row>
    <row r="60" spans="1:13" s="355" customFormat="1" ht="47.25" hidden="1">
      <c r="A60" s="320">
        <v>7</v>
      </c>
      <c r="B60" s="401" t="s">
        <v>336</v>
      </c>
      <c r="C60" s="402" t="s">
        <v>337</v>
      </c>
      <c r="D60" s="403">
        <v>56310000</v>
      </c>
      <c r="E60" s="404" t="s">
        <v>337</v>
      </c>
      <c r="F60" s="405">
        <v>56310000</v>
      </c>
      <c r="G60" s="301">
        <f t="shared" si="14"/>
        <v>0</v>
      </c>
      <c r="H60" s="299">
        <f t="shared" si="13"/>
        <v>1</v>
      </c>
      <c r="I60" s="318"/>
      <c r="J60" s="319"/>
      <c r="K60" s="354"/>
      <c r="M60" s="372" t="s">
        <v>297</v>
      </c>
    </row>
    <row r="61" spans="1:13" s="355" customFormat="1" hidden="1">
      <c r="A61" s="320">
        <v>8</v>
      </c>
      <c r="B61" s="401" t="s">
        <v>338</v>
      </c>
      <c r="C61" s="342" t="s">
        <v>339</v>
      </c>
      <c r="D61" s="405">
        <v>165958100</v>
      </c>
      <c r="E61" s="344" t="s">
        <v>339</v>
      </c>
      <c r="F61" s="405">
        <v>165958100</v>
      </c>
      <c r="G61" s="301">
        <f t="shared" si="14"/>
        <v>0</v>
      </c>
      <c r="H61" s="299">
        <f t="shared" si="13"/>
        <v>1</v>
      </c>
      <c r="I61" s="352"/>
      <c r="J61" s="353"/>
      <c r="K61" s="354"/>
      <c r="M61" s="406" t="s">
        <v>340</v>
      </c>
    </row>
    <row r="62" spans="1:13" s="355" customFormat="1" hidden="1">
      <c r="A62" s="320">
        <v>9</v>
      </c>
      <c r="B62" s="401" t="s">
        <v>276</v>
      </c>
      <c r="C62" s="399"/>
      <c r="D62" s="403">
        <f>D63</f>
        <v>25431000</v>
      </c>
      <c r="E62" s="407"/>
      <c r="F62" s="403">
        <f>F63</f>
        <v>25431000</v>
      </c>
      <c r="G62" s="403">
        <f t="shared" ref="G62" si="15">G63</f>
        <v>0</v>
      </c>
      <c r="H62" s="299">
        <f t="shared" si="13"/>
        <v>1</v>
      </c>
      <c r="I62" s="352"/>
      <c r="J62" s="353"/>
      <c r="K62" s="354"/>
      <c r="M62" s="406" t="s">
        <v>277</v>
      </c>
    </row>
    <row r="63" spans="1:13" s="328" customFormat="1" ht="63" hidden="1">
      <c r="A63" s="408" t="s">
        <v>341</v>
      </c>
      <c r="B63" s="398" t="s">
        <v>342</v>
      </c>
      <c r="C63" s="337" t="s">
        <v>343</v>
      </c>
      <c r="D63" s="323">
        <v>25431000</v>
      </c>
      <c r="E63" s="409" t="s">
        <v>343</v>
      </c>
      <c r="F63" s="371">
        <v>25431000</v>
      </c>
      <c r="G63" s="301">
        <f>+D63-F63</f>
        <v>0</v>
      </c>
      <c r="H63" s="299">
        <f t="shared" si="13"/>
        <v>1</v>
      </c>
      <c r="I63" s="386"/>
      <c r="J63" s="387"/>
    </row>
    <row r="64" spans="1:13" s="335" customFormat="1" hidden="1">
      <c r="A64" s="394" t="s">
        <v>344</v>
      </c>
      <c r="B64" s="395" t="s">
        <v>345</v>
      </c>
      <c r="C64" s="396"/>
      <c r="D64" s="316">
        <f>D65</f>
        <v>14199626000</v>
      </c>
      <c r="E64" s="242"/>
      <c r="F64" s="316">
        <f>F65</f>
        <v>14199626000</v>
      </c>
      <c r="G64" s="316">
        <f>G65</f>
        <v>0</v>
      </c>
      <c r="H64" s="397">
        <f t="shared" si="13"/>
        <v>1</v>
      </c>
      <c r="I64" s="358"/>
      <c r="J64" s="334" t="s">
        <v>346</v>
      </c>
    </row>
    <row r="65" spans="1:13" hidden="1">
      <c r="A65" s="329">
        <v>1</v>
      </c>
      <c r="B65" s="410" t="s">
        <v>53</v>
      </c>
      <c r="C65" s="342"/>
      <c r="D65" s="343">
        <f>D66</f>
        <v>14199626000</v>
      </c>
      <c r="E65" s="344"/>
      <c r="F65" s="343">
        <f>F66</f>
        <v>14199626000</v>
      </c>
      <c r="G65" s="343">
        <f>G66</f>
        <v>0</v>
      </c>
      <c r="H65" s="411">
        <f>+F65/D65</f>
        <v>1</v>
      </c>
      <c r="I65" s="308"/>
      <c r="J65" s="309"/>
    </row>
    <row r="66" spans="1:13" s="328" customFormat="1" ht="31.5" hidden="1">
      <c r="A66" s="412" t="s">
        <v>15</v>
      </c>
      <c r="B66" s="413" t="s">
        <v>347</v>
      </c>
      <c r="C66" s="414"/>
      <c r="D66" s="415">
        <f>+D67+D68</f>
        <v>14199626000</v>
      </c>
      <c r="E66" s="416"/>
      <c r="F66" s="415">
        <f t="shared" ref="F66:G66" si="16">+F67+F68</f>
        <v>14199626000</v>
      </c>
      <c r="G66" s="415">
        <f t="shared" si="16"/>
        <v>0</v>
      </c>
      <c r="H66" s="417">
        <f>+F66/D66</f>
        <v>1</v>
      </c>
      <c r="I66" s="418"/>
      <c r="J66" s="387"/>
      <c r="M66" s="328" t="s">
        <v>348</v>
      </c>
    </row>
    <row r="67" spans="1:13" s="328" customFormat="1" ht="68.25" hidden="1" customHeight="1">
      <c r="A67" s="329" t="s">
        <v>130</v>
      </c>
      <c r="B67" s="322" t="s">
        <v>349</v>
      </c>
      <c r="C67" s="419" t="s">
        <v>350</v>
      </c>
      <c r="D67" s="343">
        <f>10680000000</f>
        <v>10680000000</v>
      </c>
      <c r="E67" s="420" t="s">
        <v>350</v>
      </c>
      <c r="F67" s="254">
        <v>10680000000</v>
      </c>
      <c r="G67" s="301">
        <f>+D67-F67</f>
        <v>0</v>
      </c>
      <c r="H67" s="411">
        <f t="shared" ref="H67:H70" si="17">+F67/D67</f>
        <v>1</v>
      </c>
      <c r="I67" s="386"/>
      <c r="J67" s="387"/>
    </row>
    <row r="68" spans="1:13" s="328" customFormat="1" hidden="1">
      <c r="A68" s="329" t="s">
        <v>131</v>
      </c>
      <c r="B68" s="421" t="s">
        <v>285</v>
      </c>
      <c r="C68" s="422"/>
      <c r="D68" s="343">
        <f>D69+D70</f>
        <v>3519626000</v>
      </c>
      <c r="E68" s="344"/>
      <c r="F68" s="343">
        <f t="shared" ref="F68:G68" si="18">F69+F70</f>
        <v>3519626000</v>
      </c>
      <c r="G68" s="343">
        <f t="shared" si="18"/>
        <v>0</v>
      </c>
      <c r="H68" s="411">
        <f t="shared" si="17"/>
        <v>1</v>
      </c>
      <c r="I68" s="386"/>
      <c r="J68" s="387"/>
    </row>
    <row r="69" spans="1:13" s="328" customFormat="1" ht="47.25" hidden="1">
      <c r="A69" s="329"/>
      <c r="B69" s="423" t="s">
        <v>351</v>
      </c>
      <c r="C69" s="424" t="s">
        <v>352</v>
      </c>
      <c r="D69" s="425">
        <v>1032873000</v>
      </c>
      <c r="E69" s="426" t="s">
        <v>352</v>
      </c>
      <c r="F69" s="254">
        <v>1032873000</v>
      </c>
      <c r="G69" s="301">
        <f>+D69-F69</f>
        <v>0</v>
      </c>
      <c r="H69" s="411">
        <f t="shared" si="17"/>
        <v>1</v>
      </c>
      <c r="I69" s="308"/>
      <c r="J69" s="309"/>
      <c r="M69" s="398" t="s">
        <v>295</v>
      </c>
    </row>
    <row r="70" spans="1:13" s="328" customFormat="1" ht="63" hidden="1">
      <c r="A70" s="329"/>
      <c r="B70" s="423" t="s">
        <v>353</v>
      </c>
      <c r="C70" s="424" t="s">
        <v>352</v>
      </c>
      <c r="D70" s="425">
        <v>2486753000</v>
      </c>
      <c r="E70" s="426" t="s">
        <v>352</v>
      </c>
      <c r="F70" s="254">
        <v>2486753000</v>
      </c>
      <c r="G70" s="301">
        <f>+D70-F70</f>
        <v>0</v>
      </c>
      <c r="H70" s="411">
        <f t="shared" si="17"/>
        <v>1</v>
      </c>
      <c r="I70" s="308"/>
      <c r="J70" s="309"/>
      <c r="M70" s="398" t="s">
        <v>354</v>
      </c>
    </row>
    <row r="71" spans="1:13" ht="31.5">
      <c r="A71" s="310" t="s">
        <v>272</v>
      </c>
      <c r="B71" s="311" t="s">
        <v>355</v>
      </c>
      <c r="C71" s="427"/>
      <c r="D71" s="312">
        <f>D72+D87</f>
        <v>37034717718.05571</v>
      </c>
      <c r="E71" s="232"/>
      <c r="F71" s="312">
        <f>F72+F87</f>
        <v>23502212900.039707</v>
      </c>
      <c r="G71" s="312">
        <f>G72+G87</f>
        <v>13532504818.015999</v>
      </c>
      <c r="H71" s="307">
        <f>+F71/D71</f>
        <v>0.63459948794429621</v>
      </c>
      <c r="I71" s="308"/>
      <c r="J71" s="309"/>
    </row>
    <row r="72" spans="1:13" s="303" customFormat="1">
      <c r="A72" s="314" t="s">
        <v>356</v>
      </c>
      <c r="B72" s="315" t="s">
        <v>13</v>
      </c>
      <c r="C72" s="428"/>
      <c r="D72" s="316">
        <f>+D73+D74+D76+D79+D83</f>
        <v>29771230729</v>
      </c>
      <c r="E72" s="235"/>
      <c r="F72" s="316">
        <f>+F73+F74+F76+F79+F83</f>
        <v>16624026041</v>
      </c>
      <c r="G72" s="316">
        <f>+G73+G74+G76+G79+G83</f>
        <v>13147204688</v>
      </c>
      <c r="H72" s="317">
        <f>+F72/D72</f>
        <v>0.55839230135711604</v>
      </c>
      <c r="I72" s="318"/>
      <c r="J72" s="319"/>
    </row>
    <row r="73" spans="1:13" ht="94.5" hidden="1">
      <c r="A73" s="23">
        <v>1</v>
      </c>
      <c r="B73" s="341" t="s">
        <v>357</v>
      </c>
      <c r="C73" s="429" t="s">
        <v>358</v>
      </c>
      <c r="D73" s="430">
        <v>35560000</v>
      </c>
      <c r="E73" s="322" t="s">
        <v>358</v>
      </c>
      <c r="F73" s="371">
        <v>35560000</v>
      </c>
      <c r="G73" s="301">
        <f>+D73-F73</f>
        <v>0</v>
      </c>
      <c r="H73" s="362">
        <f>+F73/D73</f>
        <v>1</v>
      </c>
      <c r="I73" s="308"/>
      <c r="J73" s="309"/>
      <c r="M73" s="398" t="s">
        <v>359</v>
      </c>
    </row>
    <row r="74" spans="1:13" hidden="1">
      <c r="A74" s="23">
        <v>2</v>
      </c>
      <c r="B74" s="341" t="s">
        <v>73</v>
      </c>
      <c r="C74" s="431"/>
      <c r="D74" s="430">
        <f>D75</f>
        <v>326900000</v>
      </c>
      <c r="E74" s="432"/>
      <c r="F74" s="430">
        <f t="shared" ref="F74:G74" si="19">F75</f>
        <v>326900000</v>
      </c>
      <c r="G74" s="430">
        <f t="shared" si="19"/>
        <v>0</v>
      </c>
      <c r="H74" s="362">
        <f t="shared" ref="H74:H137" si="20">+F74/D74</f>
        <v>1</v>
      </c>
      <c r="I74" s="308"/>
      <c r="J74" s="309"/>
    </row>
    <row r="75" spans="1:13" ht="78.75" hidden="1">
      <c r="A75" s="23" t="s">
        <v>24</v>
      </c>
      <c r="B75" s="433" t="s">
        <v>360</v>
      </c>
      <c r="C75" s="434" t="s">
        <v>361</v>
      </c>
      <c r="D75" s="435">
        <v>326900000</v>
      </c>
      <c r="E75" s="436" t="s">
        <v>361</v>
      </c>
      <c r="F75" s="371">
        <f>245293000+81607000</f>
        <v>326900000</v>
      </c>
      <c r="G75" s="301">
        <f>+D75-F75</f>
        <v>0</v>
      </c>
      <c r="H75" s="362">
        <f t="shared" si="20"/>
        <v>1</v>
      </c>
      <c r="I75" s="308"/>
      <c r="J75" s="437" t="s">
        <v>362</v>
      </c>
    </row>
    <row r="76" spans="1:13" hidden="1">
      <c r="A76" s="23">
        <v>3</v>
      </c>
      <c r="B76" s="433" t="s">
        <v>285</v>
      </c>
      <c r="C76" s="434"/>
      <c r="D76" s="430">
        <f>D77+D78</f>
        <v>414958050</v>
      </c>
      <c r="E76" s="436"/>
      <c r="F76" s="430">
        <f>F77+F78</f>
        <v>414958050</v>
      </c>
      <c r="G76" s="430">
        <f t="shared" ref="G76" si="21">G77+G78</f>
        <v>0</v>
      </c>
      <c r="H76" s="362">
        <f t="shared" si="20"/>
        <v>1</v>
      </c>
      <c r="I76" s="308"/>
      <c r="J76" s="309"/>
    </row>
    <row r="77" spans="1:13" ht="63" hidden="1">
      <c r="A77" s="23" t="s">
        <v>36</v>
      </c>
      <c r="B77" s="330" t="s">
        <v>363</v>
      </c>
      <c r="C77" s="429" t="s">
        <v>364</v>
      </c>
      <c r="D77" s="438">
        <v>151958050</v>
      </c>
      <c r="E77" s="401" t="s">
        <v>365</v>
      </c>
      <c r="F77" s="371">
        <v>151958050</v>
      </c>
      <c r="G77" s="301">
        <f>+D77-F77</f>
        <v>0</v>
      </c>
      <c r="H77" s="362">
        <f t="shared" si="20"/>
        <v>1</v>
      </c>
      <c r="I77" s="308"/>
      <c r="J77" s="309"/>
      <c r="M77" s="398" t="s">
        <v>366</v>
      </c>
    </row>
    <row r="78" spans="1:13" ht="47.25" hidden="1">
      <c r="A78" s="23" t="s">
        <v>166</v>
      </c>
      <c r="B78" s="330" t="s">
        <v>367</v>
      </c>
      <c r="C78" s="348" t="s">
        <v>368</v>
      </c>
      <c r="D78" s="349">
        <v>263000000</v>
      </c>
      <c r="E78" s="439" t="s">
        <v>369</v>
      </c>
      <c r="F78" s="371">
        <v>263000000</v>
      </c>
      <c r="G78" s="301">
        <f>+D78-F78</f>
        <v>0</v>
      </c>
      <c r="H78" s="362">
        <f t="shared" si="20"/>
        <v>1</v>
      </c>
      <c r="I78" s="308"/>
      <c r="J78" s="309"/>
      <c r="M78" s="308" t="s">
        <v>354</v>
      </c>
    </row>
    <row r="79" spans="1:13">
      <c r="A79" s="23">
        <v>4</v>
      </c>
      <c r="B79" s="433" t="s">
        <v>276</v>
      </c>
      <c r="C79" s="348"/>
      <c r="D79" s="430">
        <f>D80+D81+D82</f>
        <v>28983314679</v>
      </c>
      <c r="E79" s="439"/>
      <c r="F79" s="430">
        <f t="shared" ref="F79:G79" si="22">F80+F81+F82</f>
        <v>15846607991</v>
      </c>
      <c r="G79" s="430">
        <f t="shared" si="22"/>
        <v>13136706688</v>
      </c>
      <c r="H79" s="362">
        <f t="shared" si="20"/>
        <v>0.54674933376346135</v>
      </c>
      <c r="I79" s="308"/>
      <c r="J79" s="309"/>
    </row>
    <row r="80" spans="1:13" s="336" customFormat="1" ht="78.75">
      <c r="A80" s="408" t="s">
        <v>370</v>
      </c>
      <c r="B80" s="443" t="s">
        <v>371</v>
      </c>
      <c r="C80" s="337" t="s">
        <v>372</v>
      </c>
      <c r="D80" s="349">
        <v>28577736679</v>
      </c>
      <c r="E80" s="440" t="s">
        <v>372</v>
      </c>
      <c r="F80" s="333">
        <f>1126705991+188631000+450398000+1660682000+1336135000+1400222000+9278256000</f>
        <v>15441029991</v>
      </c>
      <c r="G80" s="301">
        <f>+D80-F80</f>
        <v>13136706688</v>
      </c>
      <c r="H80" s="362">
        <f t="shared" si="20"/>
        <v>0.54031675651720357</v>
      </c>
      <c r="I80" s="325"/>
      <c r="J80" s="326"/>
      <c r="K80" s="338"/>
    </row>
    <row r="81" spans="1:13" s="336" customFormat="1" ht="157.5" hidden="1">
      <c r="A81" s="593" t="s">
        <v>373</v>
      </c>
      <c r="B81" s="594" t="s">
        <v>374</v>
      </c>
      <c r="C81" s="595" t="s">
        <v>375</v>
      </c>
      <c r="D81" s="596">
        <v>188910000</v>
      </c>
      <c r="E81" s="441" t="s">
        <v>375</v>
      </c>
      <c r="F81" s="597">
        <v>188910000</v>
      </c>
      <c r="G81" s="456">
        <f>+D81-F81</f>
        <v>0</v>
      </c>
      <c r="H81" s="598">
        <f t="shared" si="20"/>
        <v>1</v>
      </c>
      <c r="I81" s="599"/>
      <c r="J81" s="326"/>
      <c r="K81" s="338" t="s">
        <v>376</v>
      </c>
      <c r="M81" s="442" t="s">
        <v>377</v>
      </c>
    </row>
    <row r="82" spans="1:13" s="336" customFormat="1" ht="63" hidden="1">
      <c r="A82" s="408" t="s">
        <v>378</v>
      </c>
      <c r="B82" s="443" t="s">
        <v>379</v>
      </c>
      <c r="C82" s="337" t="s">
        <v>380</v>
      </c>
      <c r="D82" s="349">
        <v>216668000</v>
      </c>
      <c r="E82" s="332" t="s">
        <v>380</v>
      </c>
      <c r="F82" s="333">
        <v>216668000</v>
      </c>
      <c r="G82" s="301">
        <f>+D82-F82</f>
        <v>0</v>
      </c>
      <c r="H82" s="362">
        <f t="shared" si="20"/>
        <v>1</v>
      </c>
      <c r="I82" s="325"/>
      <c r="J82" s="326"/>
      <c r="K82" s="338" t="s">
        <v>376</v>
      </c>
      <c r="M82" s="444" t="s">
        <v>377</v>
      </c>
    </row>
    <row r="83" spans="1:13" s="336" customFormat="1">
      <c r="A83" s="408">
        <v>5</v>
      </c>
      <c r="B83" s="443" t="s">
        <v>281</v>
      </c>
      <c r="C83" s="337"/>
      <c r="D83" s="349">
        <f>D84</f>
        <v>10498000</v>
      </c>
      <c r="E83" s="409"/>
      <c r="F83" s="349">
        <f t="shared" ref="F83:G83" si="23">F84</f>
        <v>0</v>
      </c>
      <c r="G83" s="349">
        <f t="shared" si="23"/>
        <v>10498000</v>
      </c>
      <c r="H83" s="362">
        <f t="shared" si="20"/>
        <v>0</v>
      </c>
      <c r="I83" s="325"/>
      <c r="J83" s="326"/>
      <c r="K83" s="338"/>
    </row>
    <row r="84" spans="1:13" ht="31.5">
      <c r="A84" s="23" t="s">
        <v>174</v>
      </c>
      <c r="B84" s="218" t="s">
        <v>282</v>
      </c>
      <c r="C84" s="434"/>
      <c r="D84" s="445">
        <f>SUM(D85:D86)</f>
        <v>10498000</v>
      </c>
      <c r="E84" s="445">
        <f t="shared" ref="E84:F84" si="24">SUM(E85:E86)</f>
        <v>0</v>
      </c>
      <c r="F84" s="445">
        <f t="shared" si="24"/>
        <v>0</v>
      </c>
      <c r="G84" s="301">
        <f>+D84-F84</f>
        <v>10498000</v>
      </c>
      <c r="H84" s="362">
        <f t="shared" si="20"/>
        <v>0</v>
      </c>
      <c r="I84" s="308"/>
      <c r="J84" s="309"/>
    </row>
    <row r="85" spans="1:13" s="303" customFormat="1" ht="47.25">
      <c r="A85" s="600"/>
      <c r="B85" s="601"/>
      <c r="C85" s="602" t="s">
        <v>381</v>
      </c>
      <c r="D85" s="603">
        <v>5265000</v>
      </c>
      <c r="E85" s="447"/>
      <c r="F85" s="604"/>
      <c r="G85" s="605">
        <f t="shared" ref="G85:G86" si="25">+D85-F85</f>
        <v>5265000</v>
      </c>
      <c r="H85" s="606">
        <f t="shared" si="20"/>
        <v>0</v>
      </c>
      <c r="I85" s="607"/>
      <c r="J85" s="319"/>
    </row>
    <row r="86" spans="1:13" s="303" customFormat="1" ht="47.25">
      <c r="A86" s="25"/>
      <c r="B86" s="217"/>
      <c r="C86" s="370" t="s">
        <v>382</v>
      </c>
      <c r="D86" s="446">
        <v>5233000</v>
      </c>
      <c r="E86" s="447"/>
      <c r="F86" s="367"/>
      <c r="G86" s="368">
        <f t="shared" si="25"/>
        <v>5233000</v>
      </c>
      <c r="H86" s="369">
        <f t="shared" si="20"/>
        <v>0</v>
      </c>
      <c r="I86" s="318"/>
      <c r="J86" s="319"/>
    </row>
    <row r="87" spans="1:13" s="303" customFormat="1">
      <c r="A87" s="314" t="s">
        <v>383</v>
      </c>
      <c r="B87" s="315" t="s">
        <v>8</v>
      </c>
      <c r="C87" s="448"/>
      <c r="D87" s="316">
        <f>D88+D95+D98+D103+D106+D111+D114+D115+D120+D124+D125</f>
        <v>7263486989.055707</v>
      </c>
      <c r="E87" s="316" t="e">
        <f>E88+E95+E98+E103+E106+E111+E114+E115+E120+E124+E125</f>
        <v>#VALUE!</v>
      </c>
      <c r="F87" s="316">
        <f>F88+F95+F98+F103+F106+F111+F114+F115+F120+F124+F125</f>
        <v>6878186859.0397081</v>
      </c>
      <c r="G87" s="316">
        <f>G88+G95+G98+G103+G106+G111+G114+G115+G120+G124+G125</f>
        <v>385300130.01599944</v>
      </c>
      <c r="H87" s="317">
        <f>+F87/D87</f>
        <v>0.94695383490098461</v>
      </c>
      <c r="I87" s="318"/>
      <c r="J87" s="319"/>
    </row>
    <row r="88" spans="1:13" s="328" customFormat="1" ht="31.5" hidden="1">
      <c r="A88" s="320">
        <v>1</v>
      </c>
      <c r="B88" s="105" t="s">
        <v>289</v>
      </c>
      <c r="C88" s="337"/>
      <c r="D88" s="343">
        <f>SUM(D89:D94)</f>
        <v>2041076929.4883757</v>
      </c>
      <c r="E88" s="343">
        <f t="shared" ref="E88:G88" si="26">SUM(E89:E94)</f>
        <v>0</v>
      </c>
      <c r="F88" s="343">
        <f>SUM(F89:F94)</f>
        <v>2041076929.4883757</v>
      </c>
      <c r="G88" s="343">
        <f t="shared" si="26"/>
        <v>0</v>
      </c>
      <c r="H88" s="362">
        <f t="shared" si="20"/>
        <v>1</v>
      </c>
      <c r="I88" s="386"/>
      <c r="J88" s="387"/>
      <c r="K88" s="280" t="s">
        <v>290</v>
      </c>
    </row>
    <row r="89" spans="1:13" s="335" customFormat="1" ht="47.25" hidden="1">
      <c r="A89" s="449"/>
      <c r="B89" s="102"/>
      <c r="C89" s="370" t="s">
        <v>384</v>
      </c>
      <c r="D89" s="365">
        <v>541403000</v>
      </c>
      <c r="E89" s="366"/>
      <c r="F89" s="367">
        <v>541403000</v>
      </c>
      <c r="G89" s="368">
        <f t="shared" ref="G89:G94" si="27">+D89-F89</f>
        <v>0</v>
      </c>
      <c r="H89" s="369"/>
      <c r="I89" s="358"/>
      <c r="J89" s="359"/>
      <c r="K89" s="303"/>
    </row>
    <row r="90" spans="1:13" s="335" customFormat="1" ht="47.25" hidden="1">
      <c r="A90" s="449"/>
      <c r="B90" s="102"/>
      <c r="C90" s="370" t="s">
        <v>291</v>
      </c>
      <c r="D90" s="365">
        <v>104679282.32539999</v>
      </c>
      <c r="E90" s="366"/>
      <c r="F90" s="367">
        <f>D90</f>
        <v>104679282.32539999</v>
      </c>
      <c r="G90" s="368">
        <f t="shared" si="27"/>
        <v>0</v>
      </c>
      <c r="H90" s="369"/>
      <c r="I90" s="358"/>
      <c r="J90" s="359"/>
      <c r="K90" s="303"/>
    </row>
    <row r="91" spans="1:13" s="335" customFormat="1" ht="47.25" hidden="1">
      <c r="A91" s="449"/>
      <c r="B91" s="102"/>
      <c r="C91" s="370" t="s">
        <v>385</v>
      </c>
      <c r="D91" s="365">
        <v>256407000</v>
      </c>
      <c r="E91" s="366"/>
      <c r="F91" s="367">
        <f>D91</f>
        <v>256407000</v>
      </c>
      <c r="G91" s="368">
        <f t="shared" si="27"/>
        <v>0</v>
      </c>
      <c r="H91" s="369"/>
      <c r="I91" s="358"/>
      <c r="J91" s="359"/>
      <c r="K91" s="303"/>
    </row>
    <row r="92" spans="1:13" s="335" customFormat="1" ht="49.5" hidden="1" customHeight="1">
      <c r="A92" s="449"/>
      <c r="B92" s="102"/>
      <c r="C92" s="370" t="s">
        <v>386</v>
      </c>
      <c r="D92" s="365">
        <v>631866138.16297555</v>
      </c>
      <c r="E92" s="366"/>
      <c r="F92" s="367">
        <f>D92</f>
        <v>631866138.16297555</v>
      </c>
      <c r="G92" s="368">
        <f t="shared" si="27"/>
        <v>0</v>
      </c>
      <c r="H92" s="369"/>
      <c r="I92" s="358"/>
      <c r="J92" s="334" t="s">
        <v>387</v>
      </c>
      <c r="K92" s="450"/>
    </row>
    <row r="93" spans="1:13" s="335" customFormat="1" ht="47.25" hidden="1">
      <c r="A93" s="449"/>
      <c r="B93" s="102"/>
      <c r="C93" s="370" t="s">
        <v>388</v>
      </c>
      <c r="D93" s="365">
        <v>62323364</v>
      </c>
      <c r="E93" s="366"/>
      <c r="F93" s="367">
        <f>D93</f>
        <v>62323364</v>
      </c>
      <c r="G93" s="368">
        <f t="shared" si="27"/>
        <v>0</v>
      </c>
      <c r="H93" s="369"/>
      <c r="I93" s="358"/>
      <c r="J93" s="359"/>
      <c r="K93" s="303"/>
    </row>
    <row r="94" spans="1:13" s="335" customFormat="1" ht="67.5" hidden="1" customHeight="1">
      <c r="A94" s="449"/>
      <c r="B94" s="102"/>
      <c r="C94" s="370" t="s">
        <v>292</v>
      </c>
      <c r="D94" s="365">
        <v>444398145</v>
      </c>
      <c r="E94" s="366"/>
      <c r="F94" s="367">
        <f>D94</f>
        <v>444398145</v>
      </c>
      <c r="G94" s="368">
        <f t="shared" si="27"/>
        <v>0</v>
      </c>
      <c r="H94" s="369"/>
      <c r="I94" s="358"/>
      <c r="J94" s="334" t="s">
        <v>387</v>
      </c>
      <c r="K94" s="303"/>
    </row>
    <row r="95" spans="1:13" s="328" customFormat="1" ht="31.5" hidden="1">
      <c r="A95" s="320">
        <v>2</v>
      </c>
      <c r="B95" s="105" t="s">
        <v>389</v>
      </c>
      <c r="C95" s="337"/>
      <c r="D95" s="343">
        <f>SUM(D96:D97)</f>
        <v>1213487000</v>
      </c>
      <c r="E95" s="343">
        <f t="shared" ref="E95:G95" si="28">SUM(E96:E97)</f>
        <v>0</v>
      </c>
      <c r="F95" s="343">
        <f t="shared" si="28"/>
        <v>1213487000</v>
      </c>
      <c r="G95" s="343">
        <f t="shared" si="28"/>
        <v>0</v>
      </c>
      <c r="H95" s="362">
        <f t="shared" si="20"/>
        <v>1</v>
      </c>
      <c r="I95" s="386"/>
      <c r="J95" s="387"/>
      <c r="K95" s="280" t="s">
        <v>290</v>
      </c>
    </row>
    <row r="96" spans="1:13" s="328" customFormat="1" ht="47.25" hidden="1">
      <c r="A96" s="320"/>
      <c r="B96" s="105"/>
      <c r="C96" s="370" t="s">
        <v>390</v>
      </c>
      <c r="D96" s="365">
        <v>717511000</v>
      </c>
      <c r="E96" s="366"/>
      <c r="F96" s="367">
        <v>717511000</v>
      </c>
      <c r="G96" s="368">
        <f t="shared" ref="G96:G125" si="29">+D96-F96</f>
        <v>0</v>
      </c>
      <c r="H96" s="362"/>
      <c r="I96" s="386"/>
      <c r="J96" s="387"/>
      <c r="K96" s="280" t="s">
        <v>391</v>
      </c>
    </row>
    <row r="97" spans="1:14" s="328" customFormat="1" ht="36.75" hidden="1" customHeight="1">
      <c r="A97" s="320"/>
      <c r="B97" s="105"/>
      <c r="C97" s="370" t="s">
        <v>392</v>
      </c>
      <c r="D97" s="365">
        <v>495976000</v>
      </c>
      <c r="E97" s="366"/>
      <c r="F97" s="367">
        <f>D97</f>
        <v>495976000</v>
      </c>
      <c r="G97" s="368">
        <f t="shared" si="29"/>
        <v>0</v>
      </c>
      <c r="H97" s="362"/>
      <c r="I97" s="386"/>
      <c r="J97" s="451" t="s">
        <v>393</v>
      </c>
      <c r="K97" s="280" t="s">
        <v>394</v>
      </c>
    </row>
    <row r="98" spans="1:14" s="328" customFormat="1" hidden="1">
      <c r="A98" s="320">
        <v>3</v>
      </c>
      <c r="B98" s="105" t="s">
        <v>395</v>
      </c>
      <c r="C98" s="337"/>
      <c r="D98" s="343">
        <f>SUM(D99:D102)</f>
        <v>877128931.60268033</v>
      </c>
      <c r="E98" s="343">
        <f t="shared" ref="E98:G98" si="30">SUM(E99:E102)</f>
        <v>0</v>
      </c>
      <c r="F98" s="343">
        <f t="shared" si="30"/>
        <v>877128931.60268033</v>
      </c>
      <c r="G98" s="343">
        <f t="shared" si="30"/>
        <v>0</v>
      </c>
      <c r="H98" s="362">
        <f t="shared" si="20"/>
        <v>1</v>
      </c>
      <c r="I98" s="308"/>
      <c r="J98" s="309"/>
      <c r="K98" s="280" t="s">
        <v>290</v>
      </c>
      <c r="N98" s="398" t="s">
        <v>396</v>
      </c>
    </row>
    <row r="99" spans="1:14" s="328" customFormat="1" ht="31.5" hidden="1">
      <c r="A99" s="320"/>
      <c r="B99" s="105"/>
      <c r="C99" s="370" t="s">
        <v>310</v>
      </c>
      <c r="D99" s="365">
        <v>239755370.50055799</v>
      </c>
      <c r="E99" s="366"/>
      <c r="F99" s="367">
        <f>D99</f>
        <v>239755370.50055799</v>
      </c>
      <c r="G99" s="368">
        <f t="shared" si="29"/>
        <v>0</v>
      </c>
      <c r="H99" s="362"/>
      <c r="I99" s="308"/>
      <c r="J99" s="451"/>
      <c r="K99" s="280"/>
      <c r="N99" s="327"/>
    </row>
    <row r="100" spans="1:14" s="328" customFormat="1" ht="31.5" hidden="1">
      <c r="A100" s="320"/>
      <c r="B100" s="105"/>
      <c r="C100" s="370" t="s">
        <v>397</v>
      </c>
      <c r="D100" s="365">
        <v>16707828.245659649</v>
      </c>
      <c r="E100" s="366"/>
      <c r="F100" s="371">
        <f>D100</f>
        <v>16707828.245659649</v>
      </c>
      <c r="G100" s="368">
        <f t="shared" si="29"/>
        <v>0</v>
      </c>
      <c r="H100" s="362"/>
      <c r="I100" s="308"/>
      <c r="J100" s="309"/>
      <c r="K100" s="280"/>
      <c r="N100" s="327"/>
    </row>
    <row r="101" spans="1:14" s="328" customFormat="1" ht="31.5" hidden="1">
      <c r="A101" s="320"/>
      <c r="B101" s="105"/>
      <c r="C101" s="370" t="s">
        <v>398</v>
      </c>
      <c r="D101" s="365">
        <v>291158199</v>
      </c>
      <c r="E101" s="366"/>
      <c r="F101" s="365">
        <v>291158199</v>
      </c>
      <c r="G101" s="368">
        <f t="shared" si="29"/>
        <v>0</v>
      </c>
      <c r="H101" s="362"/>
      <c r="I101" s="308"/>
      <c r="J101" s="309"/>
      <c r="K101" s="280"/>
      <c r="N101" s="327"/>
    </row>
    <row r="102" spans="1:14" s="328" customFormat="1" ht="31.5" hidden="1">
      <c r="A102" s="320"/>
      <c r="B102" s="105"/>
      <c r="C102" s="370" t="s">
        <v>308</v>
      </c>
      <c r="D102" s="365">
        <v>329507533.85646272</v>
      </c>
      <c r="E102" s="366"/>
      <c r="F102" s="365">
        <f>D102</f>
        <v>329507533.85646272</v>
      </c>
      <c r="G102" s="368">
        <f t="shared" si="29"/>
        <v>0</v>
      </c>
      <c r="H102" s="362"/>
      <c r="I102" s="308"/>
      <c r="J102" s="451" t="s">
        <v>393</v>
      </c>
      <c r="K102" s="280"/>
      <c r="N102" s="327"/>
    </row>
    <row r="103" spans="1:14" s="328" customFormat="1" hidden="1">
      <c r="A103" s="320">
        <v>4</v>
      </c>
      <c r="B103" s="452" t="s">
        <v>399</v>
      </c>
      <c r="C103" s="337"/>
      <c r="D103" s="343">
        <f>SUM(D104:D105)</f>
        <v>155022000</v>
      </c>
      <c r="E103" s="343">
        <f t="shared" ref="E103:G103" si="31">SUM(E104:E105)</f>
        <v>0</v>
      </c>
      <c r="F103" s="343">
        <f t="shared" si="31"/>
        <v>155022000</v>
      </c>
      <c r="G103" s="343">
        <f t="shared" si="31"/>
        <v>0</v>
      </c>
      <c r="H103" s="362">
        <f t="shared" si="20"/>
        <v>1</v>
      </c>
      <c r="I103" s="386"/>
      <c r="J103" s="387"/>
      <c r="K103" s="280" t="s">
        <v>290</v>
      </c>
    </row>
    <row r="104" spans="1:14" s="328" customFormat="1" hidden="1">
      <c r="A104" s="320"/>
      <c r="B104" s="452"/>
      <c r="C104" s="370" t="s">
        <v>400</v>
      </c>
      <c r="D104" s="365">
        <v>64896000</v>
      </c>
      <c r="E104" s="366"/>
      <c r="F104" s="365">
        <f>D104</f>
        <v>64896000</v>
      </c>
      <c r="G104" s="368">
        <f t="shared" ref="G104:G105" si="32">+D104-F104</f>
        <v>0</v>
      </c>
      <c r="H104" s="362"/>
      <c r="I104" s="386"/>
      <c r="J104" s="387"/>
      <c r="K104" s="280"/>
    </row>
    <row r="105" spans="1:14" s="328" customFormat="1" hidden="1">
      <c r="A105" s="320"/>
      <c r="B105" s="452"/>
      <c r="C105" s="370" t="s">
        <v>401</v>
      </c>
      <c r="D105" s="365">
        <v>90126000</v>
      </c>
      <c r="E105" s="366"/>
      <c r="F105" s="365">
        <f>D105</f>
        <v>90126000</v>
      </c>
      <c r="G105" s="368">
        <f t="shared" si="32"/>
        <v>0</v>
      </c>
      <c r="H105" s="362"/>
      <c r="I105" s="386"/>
      <c r="J105" s="387"/>
      <c r="K105" s="280"/>
    </row>
    <row r="106" spans="1:14" s="328" customFormat="1">
      <c r="A106" s="320">
        <v>5</v>
      </c>
      <c r="B106" s="323" t="s">
        <v>402</v>
      </c>
      <c r="C106" s="337"/>
      <c r="D106" s="430">
        <f>SUM(D107:D110)</f>
        <v>1059223959.1172267</v>
      </c>
      <c r="E106" s="430">
        <f t="shared" ref="E106:G106" si="33">SUM(E107:E110)</f>
        <v>0</v>
      </c>
      <c r="F106" s="430">
        <f t="shared" si="33"/>
        <v>799798551.10122728</v>
      </c>
      <c r="G106" s="430">
        <f t="shared" si="33"/>
        <v>259425408.01599944</v>
      </c>
      <c r="H106" s="362">
        <f t="shared" si="20"/>
        <v>0.75507973948001661</v>
      </c>
      <c r="I106" s="386"/>
      <c r="J106" s="387"/>
      <c r="K106" s="280"/>
    </row>
    <row r="107" spans="1:14" s="328" customFormat="1" ht="47.25" hidden="1">
      <c r="A107" s="320"/>
      <c r="B107" s="323"/>
      <c r="C107" s="370" t="s">
        <v>403</v>
      </c>
      <c r="D107" s="380">
        <v>80727887.538098365</v>
      </c>
      <c r="E107" s="366"/>
      <c r="F107" s="365">
        <f>D107</f>
        <v>80727887.538098365</v>
      </c>
      <c r="G107" s="368">
        <f t="shared" ref="G107:G110" si="34">+D107-F107</f>
        <v>0</v>
      </c>
      <c r="H107" s="362"/>
      <c r="I107" s="386"/>
      <c r="J107" s="387"/>
      <c r="K107" s="280" t="s">
        <v>404</v>
      </c>
    </row>
    <row r="108" spans="1:14" s="328" customFormat="1" ht="31.5">
      <c r="A108" s="320"/>
      <c r="B108" s="323"/>
      <c r="C108" s="370" t="s">
        <v>405</v>
      </c>
      <c r="D108" s="380">
        <v>591186663.56312895</v>
      </c>
      <c r="E108" s="366"/>
      <c r="F108" s="365">
        <f>D108</f>
        <v>591186663.56312895</v>
      </c>
      <c r="G108" s="368">
        <f t="shared" si="34"/>
        <v>0</v>
      </c>
      <c r="H108" s="362"/>
      <c r="I108" s="386"/>
      <c r="J108" s="451"/>
      <c r="K108" s="1073"/>
    </row>
    <row r="109" spans="1:14" s="328" customFormat="1" ht="47.25">
      <c r="A109" s="320"/>
      <c r="B109" s="323"/>
      <c r="C109" s="370" t="s">
        <v>406</v>
      </c>
      <c r="D109" s="380">
        <v>259425408.01599944</v>
      </c>
      <c r="E109" s="366"/>
      <c r="F109" s="365"/>
      <c r="G109" s="368">
        <f t="shared" si="34"/>
        <v>259425408.01599944</v>
      </c>
      <c r="H109" s="362"/>
      <c r="I109" s="386"/>
      <c r="J109" s="453"/>
      <c r="K109" s="1073"/>
    </row>
    <row r="110" spans="1:14" s="328" customFormat="1" ht="31.5">
      <c r="A110" s="320"/>
      <c r="B110" s="323"/>
      <c r="C110" s="370" t="s">
        <v>407</v>
      </c>
      <c r="D110" s="380">
        <v>127884000</v>
      </c>
      <c r="E110" s="366"/>
      <c r="F110" s="365">
        <f>D110</f>
        <v>127884000</v>
      </c>
      <c r="G110" s="368">
        <f t="shared" si="34"/>
        <v>0</v>
      </c>
      <c r="H110" s="362"/>
      <c r="I110" s="386"/>
      <c r="J110" s="453"/>
      <c r="K110" s="1073"/>
    </row>
    <row r="111" spans="1:14" s="328" customFormat="1" hidden="1">
      <c r="A111" s="320">
        <v>6</v>
      </c>
      <c r="B111" s="454" t="s">
        <v>311</v>
      </c>
      <c r="C111" s="337"/>
      <c r="D111" s="430">
        <f>SUM(D112:D113)</f>
        <v>219833000</v>
      </c>
      <c r="E111" s="430">
        <f t="shared" ref="E111:G111" si="35">SUM(E112:E113)</f>
        <v>0</v>
      </c>
      <c r="F111" s="430">
        <f t="shared" si="35"/>
        <v>219833000</v>
      </c>
      <c r="G111" s="430">
        <f t="shared" si="35"/>
        <v>0</v>
      </c>
      <c r="H111" s="362">
        <f t="shared" si="20"/>
        <v>1</v>
      </c>
      <c r="I111" s="386"/>
      <c r="J111" s="387"/>
      <c r="K111" s="280" t="s">
        <v>290</v>
      </c>
    </row>
    <row r="112" spans="1:14" s="328" customFormat="1" ht="68.25" hidden="1" customHeight="1">
      <c r="A112" s="320"/>
      <c r="B112" s="454"/>
      <c r="C112" s="370" t="s">
        <v>408</v>
      </c>
      <c r="D112" s="380">
        <v>124945000</v>
      </c>
      <c r="E112" s="366"/>
      <c r="F112" s="380">
        <v>124945000</v>
      </c>
      <c r="G112" s="368">
        <f t="shared" ref="G112:G113" si="36">+D112-F112</f>
        <v>0</v>
      </c>
      <c r="H112" s="362"/>
      <c r="I112" s="386"/>
      <c r="J112" s="387"/>
      <c r="K112" s="280"/>
      <c r="N112" s="328" t="s">
        <v>409</v>
      </c>
    </row>
    <row r="113" spans="1:14" s="328" customFormat="1" ht="99.75" hidden="1" customHeight="1">
      <c r="A113" s="320"/>
      <c r="B113" s="454"/>
      <c r="C113" s="370" t="s">
        <v>410</v>
      </c>
      <c r="D113" s="380">
        <v>94888000</v>
      </c>
      <c r="E113" s="366"/>
      <c r="F113" s="365">
        <f>D113</f>
        <v>94888000</v>
      </c>
      <c r="G113" s="368">
        <f t="shared" si="36"/>
        <v>0</v>
      </c>
      <c r="H113" s="362"/>
      <c r="I113" s="386"/>
      <c r="J113" s="387"/>
      <c r="K113" s="280"/>
    </row>
    <row r="114" spans="1:14" s="328" customFormat="1" ht="31.5">
      <c r="A114" s="320">
        <v>7</v>
      </c>
      <c r="B114" s="323" t="s">
        <v>293</v>
      </c>
      <c r="C114" s="337" t="s">
        <v>411</v>
      </c>
      <c r="D114" s="430">
        <v>125874722</v>
      </c>
      <c r="E114" s="366" t="s">
        <v>290</v>
      </c>
      <c r="F114" s="371">
        <f>+[2]KQ_PB02.2!E493</f>
        <v>0</v>
      </c>
      <c r="G114" s="301">
        <f t="shared" si="29"/>
        <v>125874722</v>
      </c>
      <c r="H114" s="362">
        <f t="shared" si="20"/>
        <v>0</v>
      </c>
      <c r="I114" s="386"/>
      <c r="J114" s="387"/>
      <c r="K114" s="280"/>
    </row>
    <row r="115" spans="1:14" s="328" customFormat="1" hidden="1">
      <c r="A115" s="320">
        <v>8</v>
      </c>
      <c r="B115" s="455" t="s">
        <v>296</v>
      </c>
      <c r="C115" s="337"/>
      <c r="D115" s="323">
        <f>SUM(D116:D119)</f>
        <v>945354688.66192043</v>
      </c>
      <c r="E115" s="323">
        <f t="shared" ref="E115:G115" si="37">SUM(E116:E119)</f>
        <v>0</v>
      </c>
      <c r="F115" s="323">
        <f t="shared" si="37"/>
        <v>945354688.66192043</v>
      </c>
      <c r="G115" s="323">
        <f t="shared" si="37"/>
        <v>0</v>
      </c>
      <c r="H115" s="362">
        <f t="shared" si="20"/>
        <v>1</v>
      </c>
      <c r="I115" s="318"/>
      <c r="J115" s="319"/>
      <c r="K115" s="280" t="s">
        <v>290</v>
      </c>
      <c r="N115" s="372" t="s">
        <v>297</v>
      </c>
    </row>
    <row r="116" spans="1:14" s="328" customFormat="1" ht="63" hidden="1">
      <c r="A116" s="320"/>
      <c r="B116" s="455"/>
      <c r="C116" s="370" t="s">
        <v>412</v>
      </c>
      <c r="D116" s="373">
        <v>30455366.429117702</v>
      </c>
      <c r="E116" s="366"/>
      <c r="F116" s="373">
        <f>D116</f>
        <v>30455366.429117702</v>
      </c>
      <c r="G116" s="368">
        <f t="shared" si="29"/>
        <v>0</v>
      </c>
      <c r="H116" s="362"/>
      <c r="I116" s="318"/>
      <c r="J116" s="451" t="s">
        <v>393</v>
      </c>
      <c r="K116" s="280" t="s">
        <v>413</v>
      </c>
      <c r="N116" s="374"/>
    </row>
    <row r="117" spans="1:14" s="328" customFormat="1" hidden="1">
      <c r="A117" s="320"/>
      <c r="B117" s="455"/>
      <c r="C117" s="370" t="s">
        <v>414</v>
      </c>
      <c r="D117" s="373">
        <v>616567535.83340013</v>
      </c>
      <c r="E117" s="366"/>
      <c r="F117" s="365">
        <f>D117</f>
        <v>616567535.83340013</v>
      </c>
      <c r="G117" s="368">
        <f t="shared" si="29"/>
        <v>0</v>
      </c>
      <c r="H117" s="362"/>
      <c r="I117" s="318"/>
      <c r="J117" s="451" t="s">
        <v>393</v>
      </c>
      <c r="K117" s="280"/>
      <c r="N117" s="374"/>
    </row>
    <row r="118" spans="1:14" s="328" customFormat="1" hidden="1">
      <c r="A118" s="320"/>
      <c r="B118" s="455"/>
      <c r="C118" s="370" t="s">
        <v>415</v>
      </c>
      <c r="D118" s="373">
        <v>223178104.41653466</v>
      </c>
      <c r="E118" s="366"/>
      <c r="F118" s="373">
        <v>223178104.41653466</v>
      </c>
      <c r="G118" s="368">
        <f t="shared" si="29"/>
        <v>0</v>
      </c>
      <c r="H118" s="362"/>
      <c r="I118" s="318"/>
      <c r="J118" s="319"/>
      <c r="K118" s="280" t="s">
        <v>416</v>
      </c>
      <c r="N118" s="374"/>
    </row>
    <row r="119" spans="1:14" s="328" customFormat="1" ht="31.5" hidden="1">
      <c r="A119" s="320"/>
      <c r="B119" s="455"/>
      <c r="C119" s="370" t="s">
        <v>417</v>
      </c>
      <c r="D119" s="373">
        <v>75153681.982867926</v>
      </c>
      <c r="E119" s="366"/>
      <c r="F119" s="373">
        <f>D119</f>
        <v>75153681.982867926</v>
      </c>
      <c r="G119" s="368">
        <f t="shared" si="29"/>
        <v>0</v>
      </c>
      <c r="H119" s="362"/>
      <c r="I119" s="318"/>
      <c r="J119" s="451" t="s">
        <v>393</v>
      </c>
      <c r="K119" s="280"/>
      <c r="N119" s="374"/>
    </row>
    <row r="120" spans="1:14" s="328" customFormat="1" hidden="1">
      <c r="A120" s="320">
        <v>9</v>
      </c>
      <c r="B120" s="323" t="s">
        <v>418</v>
      </c>
      <c r="C120" s="337"/>
      <c r="D120" s="430">
        <f>SUM(D121:D123)</f>
        <v>360219015.18550396</v>
      </c>
      <c r="E120" s="430">
        <f t="shared" ref="E120:G120" si="38">SUM(E121:E123)</f>
        <v>0</v>
      </c>
      <c r="F120" s="430">
        <f t="shared" si="38"/>
        <v>360219015.18550396</v>
      </c>
      <c r="G120" s="430">
        <f t="shared" si="38"/>
        <v>0</v>
      </c>
      <c r="H120" s="362">
        <f t="shared" si="20"/>
        <v>1</v>
      </c>
      <c r="I120" s="308"/>
      <c r="J120" s="309"/>
      <c r="K120" s="280" t="s">
        <v>290</v>
      </c>
    </row>
    <row r="121" spans="1:14" s="328" customFormat="1" ht="31.5" hidden="1">
      <c r="A121" s="320"/>
      <c r="B121" s="323"/>
      <c r="C121" s="370" t="s">
        <v>419</v>
      </c>
      <c r="D121" s="380">
        <v>85312000</v>
      </c>
      <c r="E121" s="366"/>
      <c r="F121" s="365">
        <f>D121</f>
        <v>85312000</v>
      </c>
      <c r="G121" s="368">
        <f t="shared" ref="G121:G123" si="39">+D121-F121</f>
        <v>0</v>
      </c>
      <c r="H121" s="362"/>
      <c r="I121" s="308"/>
      <c r="J121" s="309"/>
      <c r="K121" s="280"/>
    </row>
    <row r="122" spans="1:14" s="328" customFormat="1" ht="31.5" hidden="1">
      <c r="A122" s="320"/>
      <c r="B122" s="323"/>
      <c r="C122" s="370" t="s">
        <v>420</v>
      </c>
      <c r="D122" s="380">
        <v>71475000</v>
      </c>
      <c r="E122" s="366"/>
      <c r="F122" s="365">
        <f>D122</f>
        <v>71475000</v>
      </c>
      <c r="G122" s="368">
        <f t="shared" si="39"/>
        <v>0</v>
      </c>
      <c r="H122" s="362"/>
      <c r="I122" s="308"/>
      <c r="J122" s="309"/>
      <c r="K122" s="280"/>
    </row>
    <row r="123" spans="1:14" s="328" customFormat="1" hidden="1">
      <c r="A123" s="320"/>
      <c r="B123" s="323"/>
      <c r="C123" s="370" t="s">
        <v>421</v>
      </c>
      <c r="D123" s="380">
        <v>203432015.18550396</v>
      </c>
      <c r="E123" s="366"/>
      <c r="F123" s="365">
        <f>D123</f>
        <v>203432015.18550396</v>
      </c>
      <c r="G123" s="368">
        <f t="shared" si="39"/>
        <v>0</v>
      </c>
      <c r="H123" s="362"/>
      <c r="I123" s="308"/>
      <c r="J123" s="451" t="s">
        <v>393</v>
      </c>
      <c r="K123" s="280"/>
    </row>
    <row r="124" spans="1:14" s="328" customFormat="1" ht="31.5" hidden="1">
      <c r="A124" s="320">
        <v>10</v>
      </c>
      <c r="B124" s="323" t="s">
        <v>422</v>
      </c>
      <c r="C124" s="337" t="s">
        <v>423</v>
      </c>
      <c r="D124" s="430">
        <v>133549000</v>
      </c>
      <c r="E124" s="366" t="s">
        <v>290</v>
      </c>
      <c r="F124" s="371">
        <f>D124</f>
        <v>133549000</v>
      </c>
      <c r="G124" s="456">
        <f t="shared" si="29"/>
        <v>0</v>
      </c>
      <c r="H124" s="362">
        <f t="shared" si="20"/>
        <v>1</v>
      </c>
      <c r="I124" s="308"/>
      <c r="J124" s="309"/>
      <c r="K124" s="280" t="s">
        <v>290</v>
      </c>
    </row>
    <row r="125" spans="1:14" s="328" customFormat="1" ht="47.25" hidden="1">
      <c r="A125" s="320">
        <v>11</v>
      </c>
      <c r="B125" s="457" t="s">
        <v>424</v>
      </c>
      <c r="C125" s="337" t="s">
        <v>425</v>
      </c>
      <c r="D125" s="323">
        <v>132717743</v>
      </c>
      <c r="E125" s="366" t="s">
        <v>290</v>
      </c>
      <c r="F125" s="371">
        <f>D125</f>
        <v>132717743</v>
      </c>
      <c r="G125" s="301">
        <f t="shared" si="29"/>
        <v>0</v>
      </c>
      <c r="H125" s="362">
        <f t="shared" si="20"/>
        <v>1</v>
      </c>
      <c r="I125" s="386"/>
      <c r="J125" s="387"/>
      <c r="K125" s="280" t="s">
        <v>290</v>
      </c>
    </row>
    <row r="126" spans="1:14">
      <c r="A126" s="391" t="s">
        <v>426</v>
      </c>
      <c r="B126" s="392" t="s">
        <v>427</v>
      </c>
      <c r="C126" s="402"/>
      <c r="D126" s="458">
        <f>D127+D132+D133+D134+D137+D138+D141</f>
        <v>28519178460.388206</v>
      </c>
      <c r="E126" s="458" t="e">
        <f>E127+E132+E133+E134+E137+E138+E141</f>
        <v>#VALUE!</v>
      </c>
      <c r="F126" s="458">
        <f>F127+F132+F133+F134+F137+F138+F141</f>
        <v>27741356045.751686</v>
      </c>
      <c r="G126" s="458">
        <f>G127+G132+G133+G134+G137+G138+G141</f>
        <v>777822414.63652003</v>
      </c>
      <c r="H126" s="459">
        <f>+F126/D126</f>
        <v>0.97272633867357439</v>
      </c>
      <c r="I126" s="308"/>
      <c r="J126" s="309"/>
    </row>
    <row r="127" spans="1:14" s="328" customFormat="1" ht="31.5">
      <c r="A127" s="460">
        <v>1</v>
      </c>
      <c r="B127" s="345" t="s">
        <v>289</v>
      </c>
      <c r="C127" s="337"/>
      <c r="D127" s="430">
        <f>SUM(D128:D131)</f>
        <v>3799002806.4514742</v>
      </c>
      <c r="E127" s="430">
        <f t="shared" ref="E127:G127" si="40">SUM(E128:E131)</f>
        <v>0</v>
      </c>
      <c r="F127" s="430">
        <f t="shared" si="40"/>
        <v>3181951910.8149538</v>
      </c>
      <c r="G127" s="430">
        <f t="shared" si="40"/>
        <v>617050895.63652003</v>
      </c>
      <c r="H127" s="362">
        <f t="shared" si="20"/>
        <v>0.83757556204258565</v>
      </c>
      <c r="I127" s="386"/>
      <c r="J127" s="387"/>
      <c r="K127" s="280"/>
    </row>
    <row r="128" spans="1:14" s="328" customFormat="1" ht="51.75" hidden="1" customHeight="1">
      <c r="A128" s="460"/>
      <c r="B128" s="345"/>
      <c r="C128" s="370" t="s">
        <v>385</v>
      </c>
      <c r="D128" s="430">
        <v>945540000</v>
      </c>
      <c r="E128" s="366"/>
      <c r="F128" s="371">
        <f>[2]KQ_PB02.2!E153</f>
        <v>945540000</v>
      </c>
      <c r="G128" s="301">
        <f t="shared" ref="G128:G141" si="41">+D128-F128</f>
        <v>0</v>
      </c>
      <c r="H128" s="362"/>
      <c r="I128" s="386"/>
      <c r="J128" s="387"/>
      <c r="K128" s="280"/>
    </row>
    <row r="129" spans="1:14" s="328" customFormat="1" ht="61.5" hidden="1" customHeight="1">
      <c r="A129" s="460"/>
      <c r="B129" s="345"/>
      <c r="C129" s="370" t="s">
        <v>386</v>
      </c>
      <c r="D129" s="430">
        <v>802549347.43772149</v>
      </c>
      <c r="E129" s="366"/>
      <c r="F129" s="371">
        <f>[2]KQ_PB02.2!E156</f>
        <v>802549347.43772149</v>
      </c>
      <c r="G129" s="301">
        <f t="shared" si="41"/>
        <v>0</v>
      </c>
      <c r="H129" s="362"/>
      <c r="I129" s="318" t="s">
        <v>428</v>
      </c>
      <c r="J129" s="387"/>
      <c r="K129" s="280"/>
    </row>
    <row r="130" spans="1:14" s="328" customFormat="1" ht="54" customHeight="1">
      <c r="A130" s="460"/>
      <c r="B130" s="345"/>
      <c r="C130" s="370" t="s">
        <v>388</v>
      </c>
      <c r="D130" s="430">
        <v>522764793.92775416</v>
      </c>
      <c r="E130" s="366"/>
      <c r="F130" s="371">
        <f>[2]KQ_PB02.2!E174</f>
        <v>262266989.60603416</v>
      </c>
      <c r="G130" s="301">
        <f t="shared" si="41"/>
        <v>260497804.32172</v>
      </c>
      <c r="H130" s="362"/>
      <c r="I130" s="386"/>
      <c r="J130" s="387"/>
      <c r="K130" s="280"/>
    </row>
    <row r="131" spans="1:14" s="328" customFormat="1" ht="63">
      <c r="A131" s="460"/>
      <c r="B131" s="345"/>
      <c r="C131" s="370" t="s">
        <v>292</v>
      </c>
      <c r="D131" s="430">
        <v>1528148665.0859985</v>
      </c>
      <c r="E131" s="366"/>
      <c r="F131" s="371">
        <f>[2]KQ_PB02.2!E184</f>
        <v>1171595573.7711985</v>
      </c>
      <c r="G131" s="301">
        <f t="shared" si="41"/>
        <v>356553091.31480002</v>
      </c>
      <c r="H131" s="362"/>
      <c r="I131" s="386"/>
      <c r="J131" s="387"/>
      <c r="K131" s="280"/>
    </row>
    <row r="132" spans="1:14" s="328" customFormat="1" ht="66" hidden="1" customHeight="1">
      <c r="A132" s="460">
        <v>2</v>
      </c>
      <c r="B132" s="105" t="s">
        <v>389</v>
      </c>
      <c r="C132" s="337" t="s">
        <v>429</v>
      </c>
      <c r="D132" s="430">
        <v>22359049000</v>
      </c>
      <c r="E132" s="366" t="s">
        <v>290</v>
      </c>
      <c r="F132" s="371">
        <f>D132</f>
        <v>22359049000</v>
      </c>
      <c r="G132" s="301">
        <f t="shared" si="41"/>
        <v>0</v>
      </c>
      <c r="H132" s="362">
        <f t="shared" si="20"/>
        <v>1</v>
      </c>
      <c r="I132" s="461"/>
      <c r="J132" s="387"/>
      <c r="K132" s="280" t="s">
        <v>290</v>
      </c>
    </row>
    <row r="133" spans="1:14" s="328" customFormat="1" ht="54.75" customHeight="1">
      <c r="A133" s="460">
        <v>3</v>
      </c>
      <c r="B133" s="105" t="s">
        <v>430</v>
      </c>
      <c r="C133" s="337" t="s">
        <v>431</v>
      </c>
      <c r="D133" s="430">
        <v>153784711</v>
      </c>
      <c r="E133" s="366" t="s">
        <v>290</v>
      </c>
      <c r="F133" s="371"/>
      <c r="G133" s="301">
        <f t="shared" si="41"/>
        <v>153784711</v>
      </c>
      <c r="H133" s="362">
        <f t="shared" si="20"/>
        <v>0</v>
      </c>
      <c r="I133" s="318"/>
      <c r="J133" s="387"/>
      <c r="K133" s="280"/>
    </row>
    <row r="134" spans="1:14" s="328" customFormat="1" hidden="1">
      <c r="A134" s="460">
        <v>4</v>
      </c>
      <c r="B134" s="105" t="s">
        <v>311</v>
      </c>
      <c r="C134" s="337"/>
      <c r="D134" s="430">
        <f>SUM(D135:D136)</f>
        <v>614029000</v>
      </c>
      <c r="E134" s="430">
        <f t="shared" ref="E134:G134" si="42">SUM(E135:E136)</f>
        <v>0</v>
      </c>
      <c r="F134" s="430">
        <f t="shared" si="42"/>
        <v>614029000</v>
      </c>
      <c r="G134" s="430">
        <f t="shared" si="42"/>
        <v>0</v>
      </c>
      <c r="H134" s="362">
        <f t="shared" si="20"/>
        <v>1</v>
      </c>
      <c r="I134" s="386"/>
      <c r="J134" s="387"/>
      <c r="K134" s="280" t="s">
        <v>290</v>
      </c>
      <c r="N134" s="328" t="s">
        <v>432</v>
      </c>
    </row>
    <row r="135" spans="1:14" s="328" customFormat="1" hidden="1">
      <c r="A135" s="460"/>
      <c r="B135" s="105"/>
      <c r="C135" s="370" t="s">
        <v>433</v>
      </c>
      <c r="D135" s="380">
        <v>75443000</v>
      </c>
      <c r="E135" s="366"/>
      <c r="F135" s="380">
        <v>75443000</v>
      </c>
      <c r="G135" s="368">
        <f t="shared" ref="G135:G136" si="43">+D135-F135</f>
        <v>0</v>
      </c>
      <c r="H135" s="362"/>
      <c r="I135" s="386"/>
      <c r="J135" s="387"/>
      <c r="K135" s="280"/>
    </row>
    <row r="136" spans="1:14" s="328" customFormat="1" ht="101.25" hidden="1" customHeight="1">
      <c r="A136" s="460"/>
      <c r="B136" s="105"/>
      <c r="C136" s="370" t="s">
        <v>410</v>
      </c>
      <c r="D136" s="380">
        <v>538586000</v>
      </c>
      <c r="E136" s="366"/>
      <c r="F136" s="380">
        <v>538586000</v>
      </c>
      <c r="G136" s="368">
        <f t="shared" si="43"/>
        <v>0</v>
      </c>
      <c r="H136" s="362"/>
      <c r="I136" s="386"/>
      <c r="J136" s="387"/>
      <c r="K136" s="280"/>
    </row>
    <row r="137" spans="1:14" s="328" customFormat="1" ht="31.5">
      <c r="A137" s="460">
        <v>5</v>
      </c>
      <c r="B137" s="105" t="s">
        <v>293</v>
      </c>
      <c r="C137" s="337" t="s">
        <v>411</v>
      </c>
      <c r="D137" s="430">
        <v>6986808</v>
      </c>
      <c r="E137" s="366" t="s">
        <v>290</v>
      </c>
      <c r="F137" s="371">
        <f>+[2]KQ_PB02.2!E718</f>
        <v>0</v>
      </c>
      <c r="G137" s="301">
        <f t="shared" si="41"/>
        <v>6986808</v>
      </c>
      <c r="H137" s="362">
        <f t="shared" si="20"/>
        <v>0</v>
      </c>
      <c r="I137" s="386"/>
      <c r="J137" s="387"/>
      <c r="K137" s="280"/>
    </row>
    <row r="138" spans="1:14" hidden="1">
      <c r="A138" s="460">
        <v>6</v>
      </c>
      <c r="B138" s="323" t="s">
        <v>434</v>
      </c>
      <c r="C138" s="337"/>
      <c r="D138" s="430">
        <f>SUM(D139:D140)</f>
        <v>789254608.93673515</v>
      </c>
      <c r="E138" s="430">
        <f t="shared" ref="E138:F138" si="44">SUM(E139:E140)</f>
        <v>0</v>
      </c>
      <c r="F138" s="430">
        <f t="shared" si="44"/>
        <v>789254608.93673515</v>
      </c>
      <c r="G138" s="430">
        <f>SUM(G139:G140)</f>
        <v>0</v>
      </c>
      <c r="H138" s="362">
        <f t="shared" ref="H138:H141" si="45">+F138/D138</f>
        <v>1</v>
      </c>
      <c r="I138" s="308"/>
      <c r="J138" s="309"/>
      <c r="K138" s="280" t="s">
        <v>290</v>
      </c>
      <c r="N138" s="398" t="s">
        <v>435</v>
      </c>
    </row>
    <row r="139" spans="1:14" ht="31.5" hidden="1">
      <c r="A139" s="460"/>
      <c r="B139" s="323"/>
      <c r="C139" s="370" t="s">
        <v>310</v>
      </c>
      <c r="D139" s="380">
        <v>380240197.33384991</v>
      </c>
      <c r="E139" s="366"/>
      <c r="F139" s="380">
        <f>D139</f>
        <v>380240197.33384991</v>
      </c>
      <c r="G139" s="368">
        <f t="shared" si="41"/>
        <v>0</v>
      </c>
      <c r="H139" s="362"/>
      <c r="I139" s="308"/>
      <c r="J139" s="309"/>
      <c r="N139" s="327"/>
    </row>
    <row r="140" spans="1:14" ht="31.5" hidden="1">
      <c r="A140" s="460"/>
      <c r="B140" s="323"/>
      <c r="C140" s="370" t="s">
        <v>436</v>
      </c>
      <c r="D140" s="380">
        <v>409014411.60288525</v>
      </c>
      <c r="E140" s="366"/>
      <c r="F140" s="380">
        <v>409014411.60288525</v>
      </c>
      <c r="G140" s="368">
        <f t="shared" si="41"/>
        <v>0</v>
      </c>
      <c r="H140" s="362"/>
      <c r="I140" s="308"/>
      <c r="J140" s="309"/>
      <c r="N140" s="327"/>
    </row>
    <row r="141" spans="1:14" ht="47.25" hidden="1">
      <c r="A141" s="320">
        <v>7</v>
      </c>
      <c r="B141" s="454" t="s">
        <v>424</v>
      </c>
      <c r="C141" s="337" t="s">
        <v>425</v>
      </c>
      <c r="D141" s="430">
        <v>797071526</v>
      </c>
      <c r="E141" s="366" t="s">
        <v>290</v>
      </c>
      <c r="F141" s="371">
        <f>D141</f>
        <v>797071526</v>
      </c>
      <c r="G141" s="301">
        <f t="shared" si="41"/>
        <v>0</v>
      </c>
      <c r="H141" s="362">
        <f t="shared" si="45"/>
        <v>1</v>
      </c>
      <c r="I141" s="318"/>
      <c r="J141" s="309"/>
      <c r="K141" s="280" t="s">
        <v>290</v>
      </c>
    </row>
    <row r="142" spans="1:14" s="328" customFormat="1">
      <c r="A142" s="462" t="s">
        <v>437</v>
      </c>
      <c r="B142" s="463" t="s">
        <v>438</v>
      </c>
      <c r="C142" s="464"/>
      <c r="D142" s="465">
        <f>D143+D153</f>
        <v>39095372929</v>
      </c>
      <c r="E142" s="466"/>
      <c r="F142" s="465">
        <f>F143+F153</f>
        <v>39095372928.611267</v>
      </c>
      <c r="G142" s="465">
        <f>G143+G153</f>
        <v>0.38873291015625</v>
      </c>
      <c r="H142" s="459">
        <f>+F142/D142</f>
        <v>0.99999999999005684</v>
      </c>
      <c r="I142" s="386"/>
      <c r="J142" s="387"/>
      <c r="K142" s="280"/>
    </row>
    <row r="143" spans="1:14" s="335" customFormat="1" ht="31.5" hidden="1">
      <c r="A143" s="149">
        <v>1</v>
      </c>
      <c r="B143" s="467" t="s">
        <v>439</v>
      </c>
      <c r="C143" s="468"/>
      <c r="D143" s="469">
        <f>SUM(D144:D152)</f>
        <v>21828111929</v>
      </c>
      <c r="E143" s="470" t="s">
        <v>20</v>
      </c>
      <c r="F143" s="469">
        <f>SUM(F144:F152)</f>
        <v>21828111928.611267</v>
      </c>
      <c r="G143" s="469">
        <f>SUM(G144:G152)</f>
        <v>0.38873291015625</v>
      </c>
      <c r="H143" s="471">
        <f>+F143/D143</f>
        <v>0.99999999998219113</v>
      </c>
      <c r="I143" s="472"/>
      <c r="J143" s="473"/>
      <c r="K143" s="472" t="s">
        <v>440</v>
      </c>
    </row>
    <row r="144" spans="1:14" s="303" customFormat="1" ht="31.5" hidden="1">
      <c r="A144" s="474" t="s">
        <v>15</v>
      </c>
      <c r="B144" s="475" t="s">
        <v>289</v>
      </c>
      <c r="C144" s="337"/>
      <c r="D144" s="333">
        <v>1087351574</v>
      </c>
      <c r="E144" s="366" t="s">
        <v>440</v>
      </c>
      <c r="F144" s="476">
        <f>+[2]KP_PB02.3!F14+[2]KP_PB02.3!F22</f>
        <v>1087351574</v>
      </c>
      <c r="G144" s="301">
        <f t="shared" ref="G144:G152" si="46">+D144-F144</f>
        <v>0</v>
      </c>
      <c r="H144" s="362">
        <f t="shared" ref="H144:H152" si="47">+F144/D144</f>
        <v>1</v>
      </c>
      <c r="I144" s="318"/>
      <c r="J144" s="319"/>
      <c r="K144" s="303" t="s">
        <v>440</v>
      </c>
    </row>
    <row r="145" spans="1:15" s="303" customFormat="1" ht="31.5" hidden="1">
      <c r="A145" s="477" t="s">
        <v>18</v>
      </c>
      <c r="B145" s="475" t="s">
        <v>389</v>
      </c>
      <c r="C145" s="337"/>
      <c r="D145" s="478">
        <v>315726000</v>
      </c>
      <c r="E145" s="366" t="s">
        <v>440</v>
      </c>
      <c r="F145" s="476">
        <f>+[2]KP_PB02.3!F18</f>
        <v>315726000</v>
      </c>
      <c r="G145" s="301">
        <f t="shared" si="46"/>
        <v>0</v>
      </c>
      <c r="H145" s="362">
        <f t="shared" si="47"/>
        <v>1</v>
      </c>
      <c r="I145" s="318"/>
      <c r="J145" s="319"/>
      <c r="K145" s="303" t="s">
        <v>440</v>
      </c>
    </row>
    <row r="146" spans="1:15" s="303" customFormat="1" ht="31.5" hidden="1">
      <c r="A146" s="474" t="s">
        <v>441</v>
      </c>
      <c r="B146" s="479" t="s">
        <v>399</v>
      </c>
      <c r="C146" s="337" t="s">
        <v>442</v>
      </c>
      <c r="D146" s="478">
        <v>2680346000</v>
      </c>
      <c r="E146" s="366" t="s">
        <v>440</v>
      </c>
      <c r="F146" s="476">
        <f>+[2]KP_PB02.3!F27+[2]KP_PB02.3!F29</f>
        <v>2680346000</v>
      </c>
      <c r="G146" s="301">
        <f t="shared" si="46"/>
        <v>0</v>
      </c>
      <c r="H146" s="362">
        <f t="shared" si="47"/>
        <v>1</v>
      </c>
      <c r="I146" s="318"/>
      <c r="J146" s="319"/>
      <c r="K146" s="303" t="s">
        <v>440</v>
      </c>
    </row>
    <row r="147" spans="1:15" s="335" customFormat="1" ht="31.5" hidden="1">
      <c r="A147" s="477" t="s">
        <v>443</v>
      </c>
      <c r="B147" s="479" t="s">
        <v>422</v>
      </c>
      <c r="C147" s="337" t="s">
        <v>442</v>
      </c>
      <c r="D147" s="480">
        <v>866983000</v>
      </c>
      <c r="E147" s="366" t="s">
        <v>440</v>
      </c>
      <c r="F147" s="476">
        <f>+[2]KP_PB02.3!F31</f>
        <v>866983000</v>
      </c>
      <c r="G147" s="301">
        <f t="shared" si="46"/>
        <v>0</v>
      </c>
      <c r="H147" s="362">
        <f t="shared" si="47"/>
        <v>1</v>
      </c>
      <c r="I147" s="358"/>
      <c r="J147" s="359"/>
      <c r="K147" s="303" t="s">
        <v>440</v>
      </c>
    </row>
    <row r="148" spans="1:15" s="335" customFormat="1" hidden="1">
      <c r="A148" s="474" t="s">
        <v>444</v>
      </c>
      <c r="B148" s="475" t="s">
        <v>402</v>
      </c>
      <c r="C148" s="337"/>
      <c r="D148" s="480">
        <v>9747357842</v>
      </c>
      <c r="E148" s="366" t="s">
        <v>440</v>
      </c>
      <c r="F148" s="476">
        <f>+[2]KP_PB02.3!F34</f>
        <v>9747357841.9916077</v>
      </c>
      <c r="G148" s="301">
        <f t="shared" si="46"/>
        <v>8.392333984375E-3</v>
      </c>
      <c r="H148" s="362">
        <f t="shared" si="47"/>
        <v>0.99999999999913902</v>
      </c>
      <c r="I148" s="481"/>
      <c r="J148" s="334" t="s">
        <v>445</v>
      </c>
      <c r="K148" s="303" t="s">
        <v>440</v>
      </c>
    </row>
    <row r="149" spans="1:15" s="335" customFormat="1" hidden="1">
      <c r="A149" s="477" t="s">
        <v>446</v>
      </c>
      <c r="B149" s="475" t="s">
        <v>296</v>
      </c>
      <c r="C149" s="337"/>
      <c r="D149" s="480">
        <v>5821691513</v>
      </c>
      <c r="E149" s="366" t="s">
        <v>440</v>
      </c>
      <c r="F149" s="476">
        <f>+[2]KP_PB02.3!F47+[2]KP_PB02.3!F50-1</f>
        <v>5821691512.6196594</v>
      </c>
      <c r="G149" s="301">
        <f t="shared" si="46"/>
        <v>0.380340576171875</v>
      </c>
      <c r="H149" s="362">
        <f t="shared" si="47"/>
        <v>0.99999999993466837</v>
      </c>
      <c r="I149" s="358"/>
      <c r="J149" s="359"/>
      <c r="K149" s="303" t="s">
        <v>440</v>
      </c>
    </row>
    <row r="150" spans="1:15" s="335" customFormat="1" hidden="1">
      <c r="A150" s="474" t="s">
        <v>447</v>
      </c>
      <c r="B150" s="475" t="s">
        <v>418</v>
      </c>
      <c r="C150" s="337"/>
      <c r="D150" s="480">
        <v>240000000</v>
      </c>
      <c r="E150" s="366" t="s">
        <v>440</v>
      </c>
      <c r="F150" s="476">
        <f>D150</f>
        <v>240000000</v>
      </c>
      <c r="G150" s="301">
        <f t="shared" si="46"/>
        <v>0</v>
      </c>
      <c r="H150" s="362">
        <f t="shared" si="47"/>
        <v>1</v>
      </c>
      <c r="I150" s="358"/>
      <c r="J150" s="359"/>
      <c r="K150" s="303" t="s">
        <v>440</v>
      </c>
    </row>
    <row r="151" spans="1:15" s="335" customFormat="1" hidden="1">
      <c r="A151" s="477" t="s">
        <v>448</v>
      </c>
      <c r="B151" s="475" t="s">
        <v>424</v>
      </c>
      <c r="C151" s="337"/>
      <c r="D151" s="480">
        <v>863465000</v>
      </c>
      <c r="E151" s="366" t="s">
        <v>440</v>
      </c>
      <c r="F151" s="476">
        <f>D151</f>
        <v>863465000</v>
      </c>
      <c r="G151" s="301">
        <f t="shared" si="46"/>
        <v>0</v>
      </c>
      <c r="H151" s="362">
        <f t="shared" si="47"/>
        <v>1</v>
      </c>
      <c r="I151" s="358"/>
      <c r="J151" s="359"/>
      <c r="K151" s="303" t="s">
        <v>440</v>
      </c>
    </row>
    <row r="152" spans="1:15" s="335" customFormat="1" hidden="1">
      <c r="A152" s="477" t="s">
        <v>449</v>
      </c>
      <c r="B152" s="475" t="s">
        <v>311</v>
      </c>
      <c r="C152" s="337"/>
      <c r="D152" s="480">
        <v>205191000</v>
      </c>
      <c r="E152" s="366" t="s">
        <v>440</v>
      </c>
      <c r="F152" s="476">
        <f>+[2]KP_PB02.3!F64</f>
        <v>205191000</v>
      </c>
      <c r="G152" s="301">
        <f t="shared" si="46"/>
        <v>0</v>
      </c>
      <c r="H152" s="362">
        <f t="shared" si="47"/>
        <v>1</v>
      </c>
      <c r="I152" s="358"/>
      <c r="J152" s="359"/>
      <c r="K152" s="303" t="s">
        <v>440</v>
      </c>
    </row>
    <row r="153" spans="1:15" ht="274.5" hidden="1" customHeight="1">
      <c r="A153" s="482">
        <v>2</v>
      </c>
      <c r="B153" s="483" t="s">
        <v>450</v>
      </c>
      <c r="C153" s="484" t="s">
        <v>451</v>
      </c>
      <c r="D153" s="485">
        <v>17267261000</v>
      </c>
      <c r="E153" s="486" t="s">
        <v>451</v>
      </c>
      <c r="F153" s="487">
        <f>16783710000+483551000</f>
        <v>17267261000</v>
      </c>
      <c r="G153" s="488">
        <f>+D153-F153</f>
        <v>0</v>
      </c>
      <c r="H153" s="489">
        <f>+F153/D153</f>
        <v>1</v>
      </c>
      <c r="I153" s="490" t="s">
        <v>452</v>
      </c>
      <c r="J153" s="1073" t="s">
        <v>453</v>
      </c>
      <c r="K153" s="1074"/>
      <c r="L153" s="1074"/>
    </row>
    <row r="154" spans="1:15" ht="15.75" hidden="1" customHeight="1">
      <c r="H154" s="286"/>
      <c r="J154" s="493" t="s">
        <v>454</v>
      </c>
    </row>
    <row r="155" spans="1:15" hidden="1">
      <c r="H155" s="286"/>
    </row>
    <row r="156" spans="1:15" hidden="1">
      <c r="H156" s="286"/>
    </row>
    <row r="157" spans="1:15" s="493" customFormat="1" hidden="1">
      <c r="A157" s="491"/>
      <c r="B157" s="280"/>
      <c r="C157" s="280"/>
      <c r="D157" s="280"/>
      <c r="E157" s="280"/>
      <c r="F157" s="492"/>
      <c r="G157" s="286"/>
      <c r="H157" s="286"/>
      <c r="K157" s="280"/>
      <c r="L157" s="280"/>
      <c r="M157" s="280"/>
      <c r="N157" s="280"/>
      <c r="O157" s="280"/>
    </row>
    <row r="158" spans="1:15" s="493" customFormat="1" hidden="1">
      <c r="A158" s="491"/>
      <c r="B158" s="280"/>
      <c r="C158" s="280"/>
      <c r="D158" s="280"/>
      <c r="E158" s="280"/>
      <c r="F158" s="492"/>
      <c r="G158" s="286"/>
      <c r="H158" s="286"/>
      <c r="K158" s="280"/>
      <c r="L158" s="280"/>
      <c r="M158" s="280"/>
      <c r="N158" s="280"/>
      <c r="O158" s="280"/>
    </row>
    <row r="159" spans="1:15" s="493" customFormat="1" hidden="1">
      <c r="A159" s="491"/>
      <c r="B159" s="280"/>
      <c r="C159" s="280"/>
      <c r="D159" s="280"/>
      <c r="E159" s="280"/>
      <c r="F159" s="492"/>
      <c r="G159" s="286"/>
      <c r="H159" s="286"/>
      <c r="K159" s="280"/>
      <c r="L159" s="280"/>
      <c r="M159" s="280"/>
      <c r="N159" s="280"/>
      <c r="O159" s="280"/>
    </row>
    <row r="160" spans="1:15" s="493" customFormat="1" hidden="1">
      <c r="A160" s="491"/>
      <c r="B160" s="280"/>
      <c r="C160" s="280"/>
      <c r="D160" s="280"/>
      <c r="E160" s="280"/>
      <c r="F160" s="492"/>
      <c r="G160" s="286"/>
      <c r="H160" s="286"/>
      <c r="K160" s="280"/>
      <c r="L160" s="280"/>
      <c r="M160" s="280"/>
      <c r="N160" s="280"/>
      <c r="O160" s="280"/>
    </row>
    <row r="161" spans="1:15" s="493" customFormat="1" hidden="1">
      <c r="A161" s="491"/>
      <c r="B161" s="280"/>
      <c r="C161" s="280"/>
      <c r="D161" s="492"/>
      <c r="E161" s="280"/>
      <c r="F161" s="492"/>
      <c r="G161" s="286"/>
      <c r="H161" s="286"/>
      <c r="K161" s="280"/>
      <c r="L161" s="280"/>
      <c r="M161" s="280"/>
      <c r="N161" s="280"/>
      <c r="O161" s="280"/>
    </row>
    <row r="162" spans="1:15" s="493" customFormat="1" hidden="1">
      <c r="A162" s="491"/>
      <c r="B162" s="280"/>
      <c r="C162" s="280"/>
      <c r="D162" s="492"/>
      <c r="E162" s="280"/>
      <c r="F162" s="492"/>
      <c r="G162" s="286"/>
      <c r="H162" s="286"/>
      <c r="K162" s="280"/>
      <c r="L162" s="280"/>
      <c r="M162" s="280"/>
      <c r="N162" s="280"/>
      <c r="O162" s="280"/>
    </row>
    <row r="163" spans="1:15" s="493" customFormat="1" hidden="1">
      <c r="A163" s="491"/>
      <c r="B163" s="280"/>
      <c r="C163" s="280"/>
      <c r="D163" s="492"/>
      <c r="E163" s="280"/>
      <c r="F163" s="492"/>
      <c r="G163" s="286"/>
      <c r="H163" s="286"/>
      <c r="K163" s="280"/>
      <c r="L163" s="280"/>
      <c r="M163" s="280"/>
      <c r="N163" s="280"/>
      <c r="O163" s="280"/>
    </row>
  </sheetData>
  <autoFilter ref="B3:B163">
    <filterColumn colId="0">
      <customFilters>
        <customFilter operator="notEqual" val=" "/>
      </customFilters>
    </filterColumn>
  </autoFilter>
  <mergeCells count="5">
    <mergeCell ref="F1:I1"/>
    <mergeCell ref="A2:I2"/>
    <mergeCell ref="A3:I3"/>
    <mergeCell ref="K108:K110"/>
    <mergeCell ref="J153:L153"/>
  </mergeCells>
  <printOptions horizontalCentered="1"/>
  <pageMargins left="0.23622047244094491" right="0.23622047244094491" top="0.23622047244094491" bottom="0.27559055118110237" header="0.31496062992125984" footer="0.31496062992125984"/>
  <pageSetup paperSize="9" scale="8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85" zoomScaleNormal="85" workbookViewId="0">
      <pane xSplit="3" ySplit="6" topLeftCell="E7" activePane="bottomRight" state="frozen"/>
      <selection activeCell="I65" sqref="I65"/>
      <selection pane="topRight" activeCell="I65" sqref="I65"/>
      <selection pane="bottomLeft" activeCell="I65" sqref="I65"/>
      <selection pane="bottomRight" activeCell="I65" sqref="I65"/>
    </sheetView>
  </sheetViews>
  <sheetFormatPr defaultColWidth="9.140625" defaultRowHeight="15.75"/>
  <cols>
    <col min="1" max="1" width="5.5703125" style="86" customWidth="1"/>
    <col min="2" max="2" width="29.140625" style="39" customWidth="1"/>
    <col min="3" max="3" width="17.7109375" style="39" customWidth="1"/>
    <col min="4" max="4" width="66" style="39" customWidth="1"/>
    <col min="5" max="5" width="19.5703125" style="505" customWidth="1"/>
    <col min="6" max="6" width="16.140625" style="505" customWidth="1"/>
    <col min="7" max="7" width="10.140625" style="592" customWidth="1"/>
    <col min="8" max="8" width="14.42578125" style="39" customWidth="1"/>
    <col min="9" max="9" width="23.140625" style="39" customWidth="1"/>
    <col min="10" max="10" width="9.140625" style="39"/>
    <col min="11" max="11" width="22.85546875" style="39" customWidth="1"/>
    <col min="12" max="12" width="12" style="39" customWidth="1"/>
    <col min="13" max="16384" width="9.140625" style="39"/>
  </cols>
  <sheetData>
    <row r="1" spans="1:11">
      <c r="A1" s="1"/>
      <c r="B1" s="38"/>
      <c r="C1" s="38"/>
      <c r="D1" s="1070" t="s">
        <v>455</v>
      </c>
      <c r="E1" s="1070"/>
      <c r="F1" s="1070"/>
      <c r="G1" s="1070"/>
      <c r="H1" s="1070"/>
      <c r="I1" s="281"/>
    </row>
    <row r="2" spans="1:11" ht="18.75" customHeight="1">
      <c r="A2" s="1068" t="s">
        <v>456</v>
      </c>
      <c r="B2" s="1068"/>
      <c r="C2" s="1068"/>
      <c r="D2" s="1068"/>
      <c r="E2" s="1068"/>
      <c r="F2" s="1068"/>
      <c r="G2" s="1068"/>
      <c r="H2" s="1068"/>
      <c r="I2" s="278"/>
    </row>
    <row r="3" spans="1:11">
      <c r="A3" s="1069" t="s">
        <v>514</v>
      </c>
      <c r="B3" s="1069"/>
      <c r="C3" s="1069"/>
      <c r="D3" s="1069"/>
      <c r="E3" s="1069"/>
      <c r="F3" s="1069"/>
      <c r="G3" s="1069"/>
      <c r="H3" s="1069"/>
      <c r="I3" s="279"/>
    </row>
    <row r="4" spans="1:11">
      <c r="A4" s="495"/>
      <c r="B4" s="495"/>
      <c r="C4" s="495"/>
      <c r="D4" s="1077" t="s">
        <v>457</v>
      </c>
      <c r="E4" s="1077"/>
      <c r="F4" s="1077"/>
      <c r="G4" s="1077"/>
      <c r="H4" s="1077"/>
      <c r="I4" s="496"/>
    </row>
    <row r="5" spans="1:11" ht="47.25">
      <c r="A5" s="497" t="s">
        <v>0</v>
      </c>
      <c r="B5" s="497" t="s">
        <v>1</v>
      </c>
      <c r="C5" s="497" t="s">
        <v>2</v>
      </c>
      <c r="D5" s="497" t="s">
        <v>151</v>
      </c>
      <c r="E5" s="498" t="s">
        <v>458</v>
      </c>
      <c r="F5" s="498" t="s">
        <v>459</v>
      </c>
      <c r="G5" s="499" t="s">
        <v>460</v>
      </c>
      <c r="H5" s="497" t="s">
        <v>3</v>
      </c>
      <c r="I5" s="500"/>
    </row>
    <row r="6" spans="1:11">
      <c r="A6" s="1078" t="s">
        <v>461</v>
      </c>
      <c r="B6" s="1079"/>
      <c r="C6" s="501">
        <f>C7+C12+C16+C21+C23+C27+C32+C37+C38+C40</f>
        <v>349868944761.56799</v>
      </c>
      <c r="D6" s="502"/>
      <c r="E6" s="501">
        <f t="shared" ref="E6:F6" si="0">E7+E12+E16+E21+E23+E27+E32+E37+E38+E40</f>
        <v>324506817103</v>
      </c>
      <c r="F6" s="501">
        <f t="shared" si="0"/>
        <v>25362127658.568001</v>
      </c>
      <c r="G6" s="503">
        <f>+E6/C6</f>
        <v>0.92750963456944713</v>
      </c>
      <c r="H6" s="502"/>
      <c r="I6" s="504"/>
      <c r="K6" s="505"/>
    </row>
    <row r="7" spans="1:11">
      <c r="A7" s="506">
        <v>1</v>
      </c>
      <c r="B7" s="507" t="s">
        <v>49</v>
      </c>
      <c r="C7" s="508">
        <f>C8+C9+C10+C11</f>
        <v>199542000000</v>
      </c>
      <c r="D7" s="509"/>
      <c r="E7" s="508">
        <f t="shared" ref="E7:F7" si="1">E8+E9+E10+E11</f>
        <v>199542000000</v>
      </c>
      <c r="F7" s="508">
        <f t="shared" si="1"/>
        <v>0</v>
      </c>
      <c r="G7" s="510">
        <f>+E7/C7</f>
        <v>1</v>
      </c>
      <c r="H7" s="511"/>
      <c r="I7" s="512"/>
      <c r="K7" s="505"/>
    </row>
    <row r="8" spans="1:11" ht="189" hidden="1" customHeight="1">
      <c r="A8" s="513" t="s">
        <v>15</v>
      </c>
      <c r="B8" s="321" t="s">
        <v>462</v>
      </c>
      <c r="C8" s="514">
        <v>44438000000</v>
      </c>
      <c r="D8" s="515" t="s">
        <v>463</v>
      </c>
      <c r="E8" s="515">
        <v>44438000000</v>
      </c>
      <c r="F8" s="515">
        <f>+C8-E8</f>
        <v>0</v>
      </c>
      <c r="G8" s="516">
        <f>+E8/C8</f>
        <v>1</v>
      </c>
      <c r="H8" s="517"/>
      <c r="I8" s="517"/>
      <c r="K8" s="505"/>
    </row>
    <row r="9" spans="1:11" ht="63" hidden="1">
      <c r="A9" s="513" t="s">
        <v>18</v>
      </c>
      <c r="B9" s="514" t="s">
        <v>464</v>
      </c>
      <c r="C9" s="514">
        <v>155104000000</v>
      </c>
      <c r="D9" s="517" t="s">
        <v>465</v>
      </c>
      <c r="E9" s="514">
        <v>155104000000</v>
      </c>
      <c r="F9" s="515">
        <f>+C9-E9</f>
        <v>0</v>
      </c>
      <c r="G9" s="516">
        <f>+E9/C9</f>
        <v>1</v>
      </c>
      <c r="H9" s="517"/>
      <c r="I9" s="517"/>
      <c r="K9" s="505"/>
    </row>
    <row r="10" spans="1:11" hidden="1">
      <c r="A10" s="513"/>
      <c r="B10" s="517"/>
      <c r="C10" s="514"/>
      <c r="D10" s="514"/>
      <c r="E10" s="514"/>
      <c r="F10" s="514"/>
      <c r="G10" s="518"/>
      <c r="H10" s="519"/>
      <c r="I10" s="519"/>
      <c r="K10" s="505"/>
    </row>
    <row r="11" spans="1:11" hidden="1">
      <c r="A11" s="513"/>
      <c r="B11" s="517"/>
      <c r="C11" s="514"/>
      <c r="D11" s="514"/>
      <c r="E11" s="514"/>
      <c r="F11" s="514"/>
      <c r="G11" s="518"/>
      <c r="H11" s="519"/>
      <c r="I11" s="519"/>
      <c r="K11" s="505"/>
    </row>
    <row r="12" spans="1:11" s="526" customFormat="1">
      <c r="A12" s="520">
        <v>2</v>
      </c>
      <c r="B12" s="521" t="s">
        <v>73</v>
      </c>
      <c r="C12" s="522">
        <f>C13+C14+C15</f>
        <v>47267293692</v>
      </c>
      <c r="D12" s="523"/>
      <c r="E12" s="522">
        <f t="shared" ref="E12:F12" si="2">E13+E14+E15</f>
        <v>36174398451</v>
      </c>
      <c r="F12" s="522">
        <f t="shared" si="2"/>
        <v>11092895241</v>
      </c>
      <c r="G12" s="524">
        <f>+E12/C12</f>
        <v>0.76531562578380752</v>
      </c>
      <c r="H12" s="525"/>
      <c r="I12" s="525"/>
      <c r="K12" s="527"/>
    </row>
    <row r="13" spans="1:11" s="529" customFormat="1" ht="48" customHeight="1">
      <c r="A13" s="139" t="s">
        <v>24</v>
      </c>
      <c r="B13" s="517" t="s">
        <v>466</v>
      </c>
      <c r="C13" s="528">
        <v>25286820000</v>
      </c>
      <c r="D13" s="515" t="s">
        <v>467</v>
      </c>
      <c r="E13" s="515">
        <f>12706220000+2588901750+6772433739</f>
        <v>22067555489</v>
      </c>
      <c r="F13" s="515">
        <f t="shared" ref="F13:F15" si="3">+C13-E13</f>
        <v>3219264511</v>
      </c>
      <c r="G13" s="516">
        <f>+E13/C13</f>
        <v>0.87269002148154651</v>
      </c>
      <c r="H13" s="308"/>
      <c r="I13" s="1075"/>
      <c r="K13" s="530"/>
    </row>
    <row r="14" spans="1:11" s="529" customFormat="1" ht="63">
      <c r="A14" s="139" t="s">
        <v>59</v>
      </c>
      <c r="B14" s="517" t="s">
        <v>468</v>
      </c>
      <c r="C14" s="528">
        <v>21600473692</v>
      </c>
      <c r="D14" s="515" t="s">
        <v>469</v>
      </c>
      <c r="E14" s="515">
        <f>4556107000+9170735962</f>
        <v>13726842962</v>
      </c>
      <c r="F14" s="515">
        <f t="shared" si="3"/>
        <v>7873630730</v>
      </c>
      <c r="G14" s="516">
        <f>+E14/C14</f>
        <v>0.63548805261080477</v>
      </c>
      <c r="H14" s="308"/>
      <c r="I14" s="1076"/>
      <c r="K14" s="530"/>
    </row>
    <row r="15" spans="1:11" s="529" customFormat="1" ht="31.5">
      <c r="A15" s="139" t="s">
        <v>129</v>
      </c>
      <c r="B15" s="517" t="s">
        <v>470</v>
      </c>
      <c r="C15" s="528">
        <v>380000000</v>
      </c>
      <c r="D15" s="515" t="s">
        <v>471</v>
      </c>
      <c r="E15" s="515">
        <v>380000000</v>
      </c>
      <c r="F15" s="515">
        <f t="shared" si="3"/>
        <v>0</v>
      </c>
      <c r="G15" s="516">
        <f>+E15/C15</f>
        <v>1</v>
      </c>
      <c r="H15" s="308"/>
      <c r="I15" s="308"/>
      <c r="K15" s="530"/>
    </row>
    <row r="16" spans="1:11" s="526" customFormat="1">
      <c r="A16" s="531">
        <v>3</v>
      </c>
      <c r="B16" s="532" t="s">
        <v>338</v>
      </c>
      <c r="C16" s="533">
        <f>C17+C18+C19+C20</f>
        <v>1775400000</v>
      </c>
      <c r="D16" s="532"/>
      <c r="E16" s="533">
        <f t="shared" ref="E16:F16" si="4">E17+E18+E19+E20</f>
        <v>1775400000</v>
      </c>
      <c r="F16" s="533">
        <f t="shared" si="4"/>
        <v>0</v>
      </c>
      <c r="G16" s="524">
        <f t="shared" ref="G16:G39" si="5">+E16/C16</f>
        <v>1</v>
      </c>
      <c r="H16" s="532"/>
      <c r="I16" s="532"/>
    </row>
    <row r="17" spans="1:10" s="512" customFormat="1" ht="47.25" hidden="1">
      <c r="A17" s="534" t="s">
        <v>36</v>
      </c>
      <c r="B17" s="535" t="s">
        <v>472</v>
      </c>
      <c r="C17" s="536">
        <v>254400000</v>
      </c>
      <c r="D17" s="535" t="s">
        <v>473</v>
      </c>
      <c r="E17" s="535">
        <v>254400000</v>
      </c>
      <c r="F17" s="535">
        <f t="shared" ref="F17:F20" si="6">+C17-E17</f>
        <v>0</v>
      </c>
      <c r="G17" s="537">
        <f t="shared" si="5"/>
        <v>1</v>
      </c>
      <c r="H17" s="538"/>
      <c r="I17" s="538"/>
    </row>
    <row r="18" spans="1:10" s="512" customFormat="1" hidden="1">
      <c r="A18" s="539" t="s">
        <v>166</v>
      </c>
      <c r="B18" s="540"/>
      <c r="C18" s="541"/>
      <c r="D18" s="540"/>
      <c r="E18" s="540"/>
      <c r="F18" s="540">
        <f t="shared" si="6"/>
        <v>0</v>
      </c>
      <c r="G18" s="542" t="e">
        <f t="shared" si="5"/>
        <v>#DIV/0!</v>
      </c>
      <c r="H18" s="543"/>
      <c r="I18" s="543"/>
    </row>
    <row r="19" spans="1:10" s="512" customFormat="1" hidden="1">
      <c r="A19" s="544" t="s">
        <v>166</v>
      </c>
      <c r="B19" s="545" t="s">
        <v>474</v>
      </c>
      <c r="C19" s="546">
        <v>520000000</v>
      </c>
      <c r="D19" s="545" t="s">
        <v>475</v>
      </c>
      <c r="E19" s="545">
        <v>520000000</v>
      </c>
      <c r="F19" s="545">
        <f t="shared" si="6"/>
        <v>0</v>
      </c>
      <c r="G19" s="547">
        <f t="shared" si="5"/>
        <v>1</v>
      </c>
      <c r="H19" s="548"/>
      <c r="I19" s="548"/>
    </row>
    <row r="20" spans="1:10" s="512" customFormat="1" ht="47.25" hidden="1">
      <c r="A20" s="549" t="s">
        <v>168</v>
      </c>
      <c r="B20" s="515" t="s">
        <v>476</v>
      </c>
      <c r="C20" s="528">
        <v>1001000000</v>
      </c>
      <c r="D20" s="515" t="s">
        <v>477</v>
      </c>
      <c r="E20" s="515">
        <v>1001000000</v>
      </c>
      <c r="F20" s="515">
        <f t="shared" si="6"/>
        <v>0</v>
      </c>
      <c r="G20" s="516">
        <f t="shared" si="5"/>
        <v>1</v>
      </c>
      <c r="H20" s="550"/>
      <c r="I20" s="550"/>
    </row>
    <row r="21" spans="1:10" s="526" customFormat="1">
      <c r="A21" s="551">
        <v>4</v>
      </c>
      <c r="B21" s="552" t="s">
        <v>478</v>
      </c>
      <c r="C21" s="553">
        <f>C22</f>
        <v>397531325</v>
      </c>
      <c r="D21" s="554"/>
      <c r="E21" s="555">
        <f t="shared" ref="E21:F21" si="7">E22</f>
        <v>397531325</v>
      </c>
      <c r="F21" s="555">
        <f t="shared" si="7"/>
        <v>0</v>
      </c>
      <c r="G21" s="524">
        <f t="shared" si="5"/>
        <v>1</v>
      </c>
      <c r="H21" s="556"/>
      <c r="I21" s="556"/>
    </row>
    <row r="22" spans="1:10" s="512" customFormat="1" ht="31.5" hidden="1">
      <c r="A22" s="549" t="s">
        <v>370</v>
      </c>
      <c r="B22" s="517" t="s">
        <v>479</v>
      </c>
      <c r="C22" s="528">
        <v>397531325</v>
      </c>
      <c r="D22" s="515" t="s">
        <v>471</v>
      </c>
      <c r="E22" s="515">
        <v>397531325</v>
      </c>
      <c r="F22" s="515">
        <f>+C22-E22</f>
        <v>0</v>
      </c>
      <c r="G22" s="516">
        <f t="shared" si="5"/>
        <v>1</v>
      </c>
      <c r="H22" s="550"/>
      <c r="I22" s="550"/>
    </row>
    <row r="23" spans="1:10" s="526" customFormat="1">
      <c r="A23" s="557">
        <v>5</v>
      </c>
      <c r="B23" s="558" t="s">
        <v>285</v>
      </c>
      <c r="C23" s="533">
        <f>C24+C25+C26</f>
        <v>24924010000</v>
      </c>
      <c r="D23" s="558"/>
      <c r="E23" s="533">
        <f t="shared" ref="E23:F23" si="8">E24+E25+E26</f>
        <v>24924010000</v>
      </c>
      <c r="F23" s="533">
        <f t="shared" si="8"/>
        <v>0</v>
      </c>
      <c r="G23" s="524">
        <f t="shared" si="5"/>
        <v>1</v>
      </c>
      <c r="H23" s="558"/>
      <c r="I23" s="558"/>
    </row>
    <row r="24" spans="1:10" s="564" customFormat="1" ht="31.5" hidden="1">
      <c r="A24" s="559" t="s">
        <v>174</v>
      </c>
      <c r="B24" s="560" t="s">
        <v>480</v>
      </c>
      <c r="C24" s="349">
        <v>24044000000</v>
      </c>
      <c r="D24" s="561" t="s">
        <v>481</v>
      </c>
      <c r="E24" s="562">
        <f>C24</f>
        <v>24044000000</v>
      </c>
      <c r="F24" s="515">
        <f t="shared" ref="F24:F26" si="9">+C24-E24</f>
        <v>0</v>
      </c>
      <c r="G24" s="516">
        <f t="shared" si="5"/>
        <v>1</v>
      </c>
      <c r="H24" s="563"/>
      <c r="I24" s="563"/>
    </row>
    <row r="25" spans="1:10" s="564" customFormat="1" ht="63" hidden="1">
      <c r="A25" s="559" t="s">
        <v>185</v>
      </c>
      <c r="B25" s="560" t="s">
        <v>482</v>
      </c>
      <c r="C25" s="349">
        <v>793010000</v>
      </c>
      <c r="D25" s="561" t="s">
        <v>483</v>
      </c>
      <c r="E25" s="562">
        <f>C25</f>
        <v>793010000</v>
      </c>
      <c r="F25" s="515">
        <f t="shared" si="9"/>
        <v>0</v>
      </c>
      <c r="G25" s="516">
        <f t="shared" si="5"/>
        <v>1</v>
      </c>
      <c r="H25" s="565"/>
      <c r="I25" s="565"/>
    </row>
    <row r="26" spans="1:10" s="564" customFormat="1" ht="31.5" hidden="1">
      <c r="A26" s="559" t="s">
        <v>484</v>
      </c>
      <c r="B26" s="515" t="s">
        <v>485</v>
      </c>
      <c r="C26" s="566">
        <v>87000000</v>
      </c>
      <c r="D26" s="515" t="s">
        <v>471</v>
      </c>
      <c r="E26" s="515">
        <v>87000000</v>
      </c>
      <c r="F26" s="515">
        <f t="shared" si="9"/>
        <v>0</v>
      </c>
      <c r="G26" s="516">
        <f t="shared" si="5"/>
        <v>1</v>
      </c>
      <c r="H26" s="565"/>
      <c r="I26" s="565"/>
    </row>
    <row r="27" spans="1:10" s="526" customFormat="1">
      <c r="A27" s="557">
        <v>6</v>
      </c>
      <c r="B27" s="558" t="s">
        <v>332</v>
      </c>
      <c r="C27" s="533">
        <f>C28+C29+C30+C31</f>
        <v>31371525412</v>
      </c>
      <c r="D27" s="558"/>
      <c r="E27" s="533">
        <f t="shared" ref="E27:F27" si="10">E28+E29+E30+E31</f>
        <v>30766825412</v>
      </c>
      <c r="F27" s="533">
        <f t="shared" si="10"/>
        <v>604700000</v>
      </c>
      <c r="G27" s="524">
        <f t="shared" si="5"/>
        <v>0.98072455859067997</v>
      </c>
      <c r="H27" s="558"/>
      <c r="I27" s="558"/>
    </row>
    <row r="28" spans="1:10" s="571" customFormat="1" ht="267.75" hidden="1">
      <c r="A28" s="155" t="s">
        <v>486</v>
      </c>
      <c r="B28" s="567" t="s">
        <v>487</v>
      </c>
      <c r="C28" s="567">
        <f>2764563800+5855792342+8894857005</f>
        <v>17515213147</v>
      </c>
      <c r="D28" s="568" t="s">
        <v>488</v>
      </c>
      <c r="E28" s="569">
        <v>17515213147</v>
      </c>
      <c r="F28" s="515">
        <f t="shared" ref="F28:F31" si="11">+C28-E28</f>
        <v>0</v>
      </c>
      <c r="G28" s="516">
        <f t="shared" si="5"/>
        <v>1</v>
      </c>
      <c r="H28" s="479"/>
      <c r="I28" s="479"/>
      <c r="J28" s="570"/>
    </row>
    <row r="29" spans="1:10" s="571" customFormat="1" ht="31.5" hidden="1">
      <c r="A29" s="155" t="s">
        <v>489</v>
      </c>
      <c r="B29" s="567" t="s">
        <v>490</v>
      </c>
      <c r="C29" s="567">
        <v>5400000000</v>
      </c>
      <c r="D29" s="308" t="s">
        <v>491</v>
      </c>
      <c r="E29" s="345">
        <v>5400000000</v>
      </c>
      <c r="F29" s="515">
        <f t="shared" si="11"/>
        <v>0</v>
      </c>
      <c r="G29" s="516">
        <f t="shared" si="5"/>
        <v>1</v>
      </c>
      <c r="H29" s="479"/>
      <c r="I29" s="479"/>
    </row>
    <row r="30" spans="1:10" s="355" customFormat="1" ht="126" hidden="1">
      <c r="A30" s="155" t="s">
        <v>492</v>
      </c>
      <c r="B30" s="321" t="s">
        <v>493</v>
      </c>
      <c r="C30" s="572">
        <v>7851612265</v>
      </c>
      <c r="D30" s="573" t="s">
        <v>494</v>
      </c>
      <c r="E30" s="574">
        <f>600000000+44617000+50528000+1000000000+80000000+4250000000+21481805+38284460+1766701000</f>
        <v>7851612265</v>
      </c>
      <c r="F30" s="515">
        <f t="shared" si="11"/>
        <v>0</v>
      </c>
      <c r="G30" s="516">
        <f t="shared" si="5"/>
        <v>1</v>
      </c>
      <c r="H30" s="398"/>
      <c r="I30" s="398"/>
    </row>
    <row r="31" spans="1:10" s="355" customFormat="1" ht="47.25">
      <c r="A31" s="155" t="s">
        <v>495</v>
      </c>
      <c r="B31" s="321" t="s">
        <v>496</v>
      </c>
      <c r="C31" s="572">
        <f>277700000+57000000+70000000+200000000</f>
        <v>604700000</v>
      </c>
      <c r="D31" s="573" t="s">
        <v>497</v>
      </c>
      <c r="E31" s="574"/>
      <c r="F31" s="515">
        <f t="shared" si="11"/>
        <v>604700000</v>
      </c>
      <c r="G31" s="516">
        <f t="shared" si="5"/>
        <v>0</v>
      </c>
      <c r="H31" s="398"/>
      <c r="I31" s="398"/>
    </row>
    <row r="32" spans="1:10" s="526" customFormat="1">
      <c r="A32" s="557">
        <v>7</v>
      </c>
      <c r="B32" s="558" t="s">
        <v>276</v>
      </c>
      <c r="C32" s="533">
        <f>C33+C34+C35+C36</f>
        <v>14663201451</v>
      </c>
      <c r="D32" s="558"/>
      <c r="E32" s="533">
        <f t="shared" ref="E32:F32" si="12">E33+E34+E35+E36</f>
        <v>998669033</v>
      </c>
      <c r="F32" s="533">
        <f t="shared" si="12"/>
        <v>13664532418</v>
      </c>
      <c r="G32" s="524">
        <f t="shared" si="5"/>
        <v>6.8107161750266543E-2</v>
      </c>
      <c r="H32" s="558"/>
      <c r="I32" s="558"/>
    </row>
    <row r="33" spans="1:11" s="336" customFormat="1" ht="63">
      <c r="A33" s="408" t="s">
        <v>498</v>
      </c>
      <c r="B33" s="575" t="s">
        <v>499</v>
      </c>
      <c r="C33" s="576">
        <v>13136706688</v>
      </c>
      <c r="D33" s="575" t="s">
        <v>500</v>
      </c>
      <c r="E33" s="577"/>
      <c r="F33" s="515">
        <f t="shared" ref="F33:F37" si="13">+C33-E33</f>
        <v>13136706688</v>
      </c>
      <c r="G33" s="516">
        <f t="shared" si="5"/>
        <v>0</v>
      </c>
      <c r="H33" s="575"/>
      <c r="I33" s="575"/>
    </row>
    <row r="34" spans="1:11" s="336" customFormat="1">
      <c r="A34" s="578" t="s">
        <v>501</v>
      </c>
      <c r="B34" s="308" t="s">
        <v>502</v>
      </c>
      <c r="C34" s="579">
        <v>327825730</v>
      </c>
      <c r="D34" s="580" t="s">
        <v>503</v>
      </c>
      <c r="E34" s="579"/>
      <c r="F34" s="515">
        <f t="shared" si="13"/>
        <v>327825730</v>
      </c>
      <c r="G34" s="516">
        <f t="shared" si="5"/>
        <v>0</v>
      </c>
      <c r="H34" s="580"/>
      <c r="I34" s="580"/>
    </row>
    <row r="35" spans="1:11" s="336" customFormat="1">
      <c r="A35" s="578" t="s">
        <v>504</v>
      </c>
      <c r="B35" s="308" t="s">
        <v>505</v>
      </c>
      <c r="C35" s="579">
        <v>200000000</v>
      </c>
      <c r="D35" s="581" t="s">
        <v>506</v>
      </c>
      <c r="E35" s="579"/>
      <c r="F35" s="515">
        <f t="shared" si="13"/>
        <v>200000000</v>
      </c>
      <c r="G35" s="516">
        <f t="shared" si="5"/>
        <v>0</v>
      </c>
      <c r="H35" s="580"/>
      <c r="I35" s="580"/>
    </row>
    <row r="36" spans="1:11" s="512" customFormat="1" ht="31.5">
      <c r="A36" s="578" t="s">
        <v>507</v>
      </c>
      <c r="B36" s="308" t="s">
        <v>485</v>
      </c>
      <c r="C36" s="576">
        <v>998669033</v>
      </c>
      <c r="D36" s="515" t="s">
        <v>508</v>
      </c>
      <c r="E36" s="515">
        <v>998669033</v>
      </c>
      <c r="F36" s="515">
        <f t="shared" si="13"/>
        <v>0</v>
      </c>
      <c r="G36" s="516">
        <f t="shared" si="5"/>
        <v>1</v>
      </c>
      <c r="H36" s="580"/>
      <c r="I36" s="580"/>
    </row>
    <row r="37" spans="1:11" s="526" customFormat="1">
      <c r="A37" s="557">
        <v>8</v>
      </c>
      <c r="B37" s="558" t="s">
        <v>509</v>
      </c>
      <c r="C37" s="582">
        <v>42232880.5680006</v>
      </c>
      <c r="D37" s="515" t="s">
        <v>508</v>
      </c>
      <c r="E37" s="515">
        <v>42232881</v>
      </c>
      <c r="F37" s="515">
        <f t="shared" si="13"/>
        <v>-0.43199940025806427</v>
      </c>
      <c r="G37" s="524">
        <f t="shared" si="5"/>
        <v>1.0000000102289825</v>
      </c>
      <c r="H37" s="558"/>
      <c r="I37" s="580"/>
    </row>
    <row r="38" spans="1:11">
      <c r="A38" s="557">
        <v>9</v>
      </c>
      <c r="B38" s="558" t="s">
        <v>510</v>
      </c>
      <c r="C38" s="583">
        <f>C39</f>
        <v>478750001</v>
      </c>
      <c r="D38" s="558"/>
      <c r="E38" s="583">
        <f t="shared" ref="E38:F38" si="14">E39</f>
        <v>478750001</v>
      </c>
      <c r="F38" s="583">
        <f t="shared" si="14"/>
        <v>0</v>
      </c>
      <c r="G38" s="524">
        <f t="shared" si="5"/>
        <v>1</v>
      </c>
      <c r="H38" s="558"/>
      <c r="I38" s="558"/>
    </row>
    <row r="39" spans="1:11" ht="31.5">
      <c r="A39" s="557"/>
      <c r="B39" s="308" t="s">
        <v>511</v>
      </c>
      <c r="C39" s="576">
        <f>'[3]8b'!D6</f>
        <v>478750001</v>
      </c>
      <c r="D39" s="575" t="str">
        <f>'[3]8b'!E6</f>
        <v>Giảm lỗ do: Chi phí lãi vay chưa vốn hóa trong quá trình XDCB Hợp đồng vay số 57/2407.14 /LTL/6288982 ngày 24/7/2014</v>
      </c>
      <c r="E39" s="577">
        <f>C39</f>
        <v>478750001</v>
      </c>
      <c r="F39" s="515">
        <f>+C39-E39</f>
        <v>0</v>
      </c>
      <c r="G39" s="516">
        <f t="shared" si="5"/>
        <v>1</v>
      </c>
      <c r="H39" s="558"/>
      <c r="I39" s="558"/>
    </row>
    <row r="40" spans="1:11" s="47" customFormat="1">
      <c r="A40" s="520">
        <v>10</v>
      </c>
      <c r="B40" s="584" t="s">
        <v>512</v>
      </c>
      <c r="C40" s="552">
        <f>+C41</f>
        <v>29407000000</v>
      </c>
      <c r="D40" s="584"/>
      <c r="E40" s="552">
        <f t="shared" ref="E40:F40" si="15">+E41</f>
        <v>29407000000</v>
      </c>
      <c r="F40" s="552">
        <f t="shared" si="15"/>
        <v>0</v>
      </c>
      <c r="G40" s="585">
        <f>+E40/C40</f>
        <v>1</v>
      </c>
      <c r="H40" s="525"/>
      <c r="I40" s="525"/>
      <c r="K40" s="586"/>
    </row>
    <row r="41" spans="1:11" ht="31.5">
      <c r="A41" s="587"/>
      <c r="B41" s="588" t="s">
        <v>513</v>
      </c>
      <c r="C41" s="589">
        <v>29407000000</v>
      </c>
      <c r="D41" s="588" t="s">
        <v>513</v>
      </c>
      <c r="E41" s="589">
        <f>ROUND('[2]KQ_PB03.1 QLĐH'!F7*1000000,-6)</f>
        <v>29407000000</v>
      </c>
      <c r="F41" s="535">
        <f>+C41-E41</f>
        <v>0</v>
      </c>
      <c r="G41" s="590">
        <f>+E41/C41</f>
        <v>1</v>
      </c>
      <c r="H41" s="591"/>
      <c r="I41" s="591"/>
    </row>
  </sheetData>
  <mergeCells count="6">
    <mergeCell ref="I13:I14"/>
    <mergeCell ref="D1:H1"/>
    <mergeCell ref="A2:H2"/>
    <mergeCell ref="A3:H3"/>
    <mergeCell ref="D4:H4"/>
    <mergeCell ref="A6:B6"/>
  </mergeCells>
  <printOptions horizontalCentered="1"/>
  <pageMargins left="0.23622047244094491" right="0.23622047244094491" top="0.26" bottom="0.21" header="0.31496062992125984" footer="0.31496062992125984"/>
  <pageSetup paperSize="9" scale="75"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zoomScale="70" zoomScaleNormal="70" workbookViewId="0">
      <pane xSplit="3" ySplit="8" topLeftCell="D9" activePane="bottomRight" state="frozen"/>
      <selection activeCell="I65" sqref="I65"/>
      <selection pane="topRight" activeCell="I65" sqref="I65"/>
      <selection pane="bottomLeft" activeCell="I65" sqref="I65"/>
      <selection pane="bottomRight" activeCell="A4" sqref="A4"/>
    </sheetView>
  </sheetViews>
  <sheetFormatPr defaultRowHeight="15.75"/>
  <cols>
    <col min="1" max="1" width="7.140625" style="86" customWidth="1"/>
    <col min="2" max="2" width="31.28515625" style="76" customWidth="1"/>
    <col min="3" max="3" width="39.140625" style="86" customWidth="1"/>
    <col min="4" max="5" width="20.140625" style="789" bestFit="1" customWidth="1"/>
    <col min="6" max="6" width="18.28515625" style="789" bestFit="1" customWidth="1"/>
    <col min="7" max="7" width="9.7109375" style="790" customWidth="1"/>
    <col min="8" max="8" width="29.5703125" style="791" customWidth="1"/>
    <col min="9" max="9" width="23.28515625" style="610" customWidth="1"/>
    <col min="10" max="10" width="7.5703125" style="39" customWidth="1"/>
    <col min="11" max="11" width="9.140625" style="39" customWidth="1"/>
    <col min="12" max="12" width="8.85546875" style="39" customWidth="1"/>
    <col min="13" max="13" width="23.140625" style="609" customWidth="1"/>
    <col min="14" max="14" width="15" style="39" bestFit="1" customWidth="1"/>
    <col min="15" max="256" width="9.140625" style="39"/>
    <col min="257" max="257" width="7.140625" style="39" customWidth="1"/>
    <col min="258" max="258" width="34.5703125" style="39" customWidth="1"/>
    <col min="259" max="259" width="39.140625" style="39" customWidth="1"/>
    <col min="260" max="261" width="20.140625" style="39" bestFit="1" customWidth="1"/>
    <col min="262" max="262" width="18.28515625" style="39" bestFit="1" customWidth="1"/>
    <col min="263" max="263" width="9.7109375" style="39" customWidth="1"/>
    <col min="264" max="264" width="29.5703125" style="39" customWidth="1"/>
    <col min="265" max="265" width="23.28515625" style="39" customWidth="1"/>
    <col min="266" max="266" width="7.5703125" style="39" customWidth="1"/>
    <col min="267" max="267" width="9.140625" style="39" customWidth="1"/>
    <col min="268" max="268" width="8.85546875" style="39" customWidth="1"/>
    <col min="269" max="269" width="23.140625" style="39" customWidth="1"/>
    <col min="270" max="270" width="15" style="39" bestFit="1" customWidth="1"/>
    <col min="271" max="512" width="9.140625" style="39"/>
    <col min="513" max="513" width="7.140625" style="39" customWidth="1"/>
    <col min="514" max="514" width="34.5703125" style="39" customWidth="1"/>
    <col min="515" max="515" width="39.140625" style="39" customWidth="1"/>
    <col min="516" max="517" width="20.140625" style="39" bestFit="1" customWidth="1"/>
    <col min="518" max="518" width="18.28515625" style="39" bestFit="1" customWidth="1"/>
    <col min="519" max="519" width="9.7109375" style="39" customWidth="1"/>
    <col min="520" max="520" width="29.5703125" style="39" customWidth="1"/>
    <col min="521" max="521" width="23.28515625" style="39" customWidth="1"/>
    <col min="522" max="522" width="7.5703125" style="39" customWidth="1"/>
    <col min="523" max="523" width="9.140625" style="39" customWidth="1"/>
    <col min="524" max="524" width="8.85546875" style="39" customWidth="1"/>
    <col min="525" max="525" width="23.140625" style="39" customWidth="1"/>
    <col min="526" max="526" width="15" style="39" bestFit="1" customWidth="1"/>
    <col min="527" max="768" width="9.140625" style="39"/>
    <col min="769" max="769" width="7.140625" style="39" customWidth="1"/>
    <col min="770" max="770" width="34.5703125" style="39" customWidth="1"/>
    <col min="771" max="771" width="39.140625" style="39" customWidth="1"/>
    <col min="772" max="773" width="20.140625" style="39" bestFit="1" customWidth="1"/>
    <col min="774" max="774" width="18.28515625" style="39" bestFit="1" customWidth="1"/>
    <col min="775" max="775" width="9.7109375" style="39" customWidth="1"/>
    <col min="776" max="776" width="29.5703125" style="39" customWidth="1"/>
    <col min="777" max="777" width="23.28515625" style="39" customWidth="1"/>
    <col min="778" max="778" width="7.5703125" style="39" customWidth="1"/>
    <col min="779" max="779" width="9.140625" style="39" customWidth="1"/>
    <col min="780" max="780" width="8.85546875" style="39" customWidth="1"/>
    <col min="781" max="781" width="23.140625" style="39" customWidth="1"/>
    <col min="782" max="782" width="15" style="39" bestFit="1" customWidth="1"/>
    <col min="783" max="1024" width="9.140625" style="39"/>
    <col min="1025" max="1025" width="7.140625" style="39" customWidth="1"/>
    <col min="1026" max="1026" width="34.5703125" style="39" customWidth="1"/>
    <col min="1027" max="1027" width="39.140625" style="39" customWidth="1"/>
    <col min="1028" max="1029" width="20.140625" style="39" bestFit="1" customWidth="1"/>
    <col min="1030" max="1030" width="18.28515625" style="39" bestFit="1" customWidth="1"/>
    <col min="1031" max="1031" width="9.7109375" style="39" customWidth="1"/>
    <col min="1032" max="1032" width="29.5703125" style="39" customWidth="1"/>
    <col min="1033" max="1033" width="23.28515625" style="39" customWidth="1"/>
    <col min="1034" max="1034" width="7.5703125" style="39" customWidth="1"/>
    <col min="1035" max="1035" width="9.140625" style="39" customWidth="1"/>
    <col min="1036" max="1036" width="8.85546875" style="39" customWidth="1"/>
    <col min="1037" max="1037" width="23.140625" style="39" customWidth="1"/>
    <col min="1038" max="1038" width="15" style="39" bestFit="1" customWidth="1"/>
    <col min="1039" max="1280" width="9.140625" style="39"/>
    <col min="1281" max="1281" width="7.140625" style="39" customWidth="1"/>
    <col min="1282" max="1282" width="34.5703125" style="39" customWidth="1"/>
    <col min="1283" max="1283" width="39.140625" style="39" customWidth="1"/>
    <col min="1284" max="1285" width="20.140625" style="39" bestFit="1" customWidth="1"/>
    <col min="1286" max="1286" width="18.28515625" style="39" bestFit="1" customWidth="1"/>
    <col min="1287" max="1287" width="9.7109375" style="39" customWidth="1"/>
    <col min="1288" max="1288" width="29.5703125" style="39" customWidth="1"/>
    <col min="1289" max="1289" width="23.28515625" style="39" customWidth="1"/>
    <col min="1290" max="1290" width="7.5703125" style="39" customWidth="1"/>
    <col min="1291" max="1291" width="9.140625" style="39" customWidth="1"/>
    <col min="1292" max="1292" width="8.85546875" style="39" customWidth="1"/>
    <col min="1293" max="1293" width="23.140625" style="39" customWidth="1"/>
    <col min="1294" max="1294" width="15" style="39" bestFit="1" customWidth="1"/>
    <col min="1295" max="1536" width="9.140625" style="39"/>
    <col min="1537" max="1537" width="7.140625" style="39" customWidth="1"/>
    <col min="1538" max="1538" width="34.5703125" style="39" customWidth="1"/>
    <col min="1539" max="1539" width="39.140625" style="39" customWidth="1"/>
    <col min="1540" max="1541" width="20.140625" style="39" bestFit="1" customWidth="1"/>
    <col min="1542" max="1542" width="18.28515625" style="39" bestFit="1" customWidth="1"/>
    <col min="1543" max="1543" width="9.7109375" style="39" customWidth="1"/>
    <col min="1544" max="1544" width="29.5703125" style="39" customWidth="1"/>
    <col min="1545" max="1545" width="23.28515625" style="39" customWidth="1"/>
    <col min="1546" max="1546" width="7.5703125" style="39" customWidth="1"/>
    <col min="1547" max="1547" width="9.140625" style="39" customWidth="1"/>
    <col min="1548" max="1548" width="8.85546875" style="39" customWidth="1"/>
    <col min="1549" max="1549" width="23.140625" style="39" customWidth="1"/>
    <col min="1550" max="1550" width="15" style="39" bestFit="1" customWidth="1"/>
    <col min="1551" max="1792" width="9.140625" style="39"/>
    <col min="1793" max="1793" width="7.140625" style="39" customWidth="1"/>
    <col min="1794" max="1794" width="34.5703125" style="39" customWidth="1"/>
    <col min="1795" max="1795" width="39.140625" style="39" customWidth="1"/>
    <col min="1796" max="1797" width="20.140625" style="39" bestFit="1" customWidth="1"/>
    <col min="1798" max="1798" width="18.28515625" style="39" bestFit="1" customWidth="1"/>
    <col min="1799" max="1799" width="9.7109375" style="39" customWidth="1"/>
    <col min="1800" max="1800" width="29.5703125" style="39" customWidth="1"/>
    <col min="1801" max="1801" width="23.28515625" style="39" customWidth="1"/>
    <col min="1802" max="1802" width="7.5703125" style="39" customWidth="1"/>
    <col min="1803" max="1803" width="9.140625" style="39" customWidth="1"/>
    <col min="1804" max="1804" width="8.85546875" style="39" customWidth="1"/>
    <col min="1805" max="1805" width="23.140625" style="39" customWidth="1"/>
    <col min="1806" max="1806" width="15" style="39" bestFit="1" customWidth="1"/>
    <col min="1807" max="2048" width="9.140625" style="39"/>
    <col min="2049" max="2049" width="7.140625" style="39" customWidth="1"/>
    <col min="2050" max="2050" width="34.5703125" style="39" customWidth="1"/>
    <col min="2051" max="2051" width="39.140625" style="39" customWidth="1"/>
    <col min="2052" max="2053" width="20.140625" style="39" bestFit="1" customWidth="1"/>
    <col min="2054" max="2054" width="18.28515625" style="39" bestFit="1" customWidth="1"/>
    <col min="2055" max="2055" width="9.7109375" style="39" customWidth="1"/>
    <col min="2056" max="2056" width="29.5703125" style="39" customWidth="1"/>
    <col min="2057" max="2057" width="23.28515625" style="39" customWidth="1"/>
    <col min="2058" max="2058" width="7.5703125" style="39" customWidth="1"/>
    <col min="2059" max="2059" width="9.140625" style="39" customWidth="1"/>
    <col min="2060" max="2060" width="8.85546875" style="39" customWidth="1"/>
    <col min="2061" max="2061" width="23.140625" style="39" customWidth="1"/>
    <col min="2062" max="2062" width="15" style="39" bestFit="1" customWidth="1"/>
    <col min="2063" max="2304" width="9.140625" style="39"/>
    <col min="2305" max="2305" width="7.140625" style="39" customWidth="1"/>
    <col min="2306" max="2306" width="34.5703125" style="39" customWidth="1"/>
    <col min="2307" max="2307" width="39.140625" style="39" customWidth="1"/>
    <col min="2308" max="2309" width="20.140625" style="39" bestFit="1" customWidth="1"/>
    <col min="2310" max="2310" width="18.28515625" style="39" bestFit="1" customWidth="1"/>
    <col min="2311" max="2311" width="9.7109375" style="39" customWidth="1"/>
    <col min="2312" max="2312" width="29.5703125" style="39" customWidth="1"/>
    <col min="2313" max="2313" width="23.28515625" style="39" customWidth="1"/>
    <col min="2314" max="2314" width="7.5703125" style="39" customWidth="1"/>
    <col min="2315" max="2315" width="9.140625" style="39" customWidth="1"/>
    <col min="2316" max="2316" width="8.85546875" style="39" customWidth="1"/>
    <col min="2317" max="2317" width="23.140625" style="39" customWidth="1"/>
    <col min="2318" max="2318" width="15" style="39" bestFit="1" customWidth="1"/>
    <col min="2319" max="2560" width="9.140625" style="39"/>
    <col min="2561" max="2561" width="7.140625" style="39" customWidth="1"/>
    <col min="2562" max="2562" width="34.5703125" style="39" customWidth="1"/>
    <col min="2563" max="2563" width="39.140625" style="39" customWidth="1"/>
    <col min="2564" max="2565" width="20.140625" style="39" bestFit="1" customWidth="1"/>
    <col min="2566" max="2566" width="18.28515625" style="39" bestFit="1" customWidth="1"/>
    <col min="2567" max="2567" width="9.7109375" style="39" customWidth="1"/>
    <col min="2568" max="2568" width="29.5703125" style="39" customWidth="1"/>
    <col min="2569" max="2569" width="23.28515625" style="39" customWidth="1"/>
    <col min="2570" max="2570" width="7.5703125" style="39" customWidth="1"/>
    <col min="2571" max="2571" width="9.140625" style="39" customWidth="1"/>
    <col min="2572" max="2572" width="8.85546875" style="39" customWidth="1"/>
    <col min="2573" max="2573" width="23.140625" style="39" customWidth="1"/>
    <col min="2574" max="2574" width="15" style="39" bestFit="1" customWidth="1"/>
    <col min="2575" max="2816" width="9.140625" style="39"/>
    <col min="2817" max="2817" width="7.140625" style="39" customWidth="1"/>
    <col min="2818" max="2818" width="34.5703125" style="39" customWidth="1"/>
    <col min="2819" max="2819" width="39.140625" style="39" customWidth="1"/>
    <col min="2820" max="2821" width="20.140625" style="39" bestFit="1" customWidth="1"/>
    <col min="2822" max="2822" width="18.28515625" style="39" bestFit="1" customWidth="1"/>
    <col min="2823" max="2823" width="9.7109375" style="39" customWidth="1"/>
    <col min="2824" max="2824" width="29.5703125" style="39" customWidth="1"/>
    <col min="2825" max="2825" width="23.28515625" style="39" customWidth="1"/>
    <col min="2826" max="2826" width="7.5703125" style="39" customWidth="1"/>
    <col min="2827" max="2827" width="9.140625" style="39" customWidth="1"/>
    <col min="2828" max="2828" width="8.85546875" style="39" customWidth="1"/>
    <col min="2829" max="2829" width="23.140625" style="39" customWidth="1"/>
    <col min="2830" max="2830" width="15" style="39" bestFit="1" customWidth="1"/>
    <col min="2831" max="3072" width="9.140625" style="39"/>
    <col min="3073" max="3073" width="7.140625" style="39" customWidth="1"/>
    <col min="3074" max="3074" width="34.5703125" style="39" customWidth="1"/>
    <col min="3075" max="3075" width="39.140625" style="39" customWidth="1"/>
    <col min="3076" max="3077" width="20.140625" style="39" bestFit="1" customWidth="1"/>
    <col min="3078" max="3078" width="18.28515625" style="39" bestFit="1" customWidth="1"/>
    <col min="3079" max="3079" width="9.7109375" style="39" customWidth="1"/>
    <col min="3080" max="3080" width="29.5703125" style="39" customWidth="1"/>
    <col min="3081" max="3081" width="23.28515625" style="39" customWidth="1"/>
    <col min="3082" max="3082" width="7.5703125" style="39" customWidth="1"/>
    <col min="3083" max="3083" width="9.140625" style="39" customWidth="1"/>
    <col min="3084" max="3084" width="8.85546875" style="39" customWidth="1"/>
    <col min="3085" max="3085" width="23.140625" style="39" customWidth="1"/>
    <col min="3086" max="3086" width="15" style="39" bestFit="1" customWidth="1"/>
    <col min="3087" max="3328" width="9.140625" style="39"/>
    <col min="3329" max="3329" width="7.140625" style="39" customWidth="1"/>
    <col min="3330" max="3330" width="34.5703125" style="39" customWidth="1"/>
    <col min="3331" max="3331" width="39.140625" style="39" customWidth="1"/>
    <col min="3332" max="3333" width="20.140625" style="39" bestFit="1" customWidth="1"/>
    <col min="3334" max="3334" width="18.28515625" style="39" bestFit="1" customWidth="1"/>
    <col min="3335" max="3335" width="9.7109375" style="39" customWidth="1"/>
    <col min="3336" max="3336" width="29.5703125" style="39" customWidth="1"/>
    <col min="3337" max="3337" width="23.28515625" style="39" customWidth="1"/>
    <col min="3338" max="3338" width="7.5703125" style="39" customWidth="1"/>
    <col min="3339" max="3339" width="9.140625" style="39" customWidth="1"/>
    <col min="3340" max="3340" width="8.85546875" style="39" customWidth="1"/>
    <col min="3341" max="3341" width="23.140625" style="39" customWidth="1"/>
    <col min="3342" max="3342" width="15" style="39" bestFit="1" customWidth="1"/>
    <col min="3343" max="3584" width="9.140625" style="39"/>
    <col min="3585" max="3585" width="7.140625" style="39" customWidth="1"/>
    <col min="3586" max="3586" width="34.5703125" style="39" customWidth="1"/>
    <col min="3587" max="3587" width="39.140625" style="39" customWidth="1"/>
    <col min="3588" max="3589" width="20.140625" style="39" bestFit="1" customWidth="1"/>
    <col min="3590" max="3590" width="18.28515625" style="39" bestFit="1" customWidth="1"/>
    <col min="3591" max="3591" width="9.7109375" style="39" customWidth="1"/>
    <col min="3592" max="3592" width="29.5703125" style="39" customWidth="1"/>
    <col min="3593" max="3593" width="23.28515625" style="39" customWidth="1"/>
    <col min="3594" max="3594" width="7.5703125" style="39" customWidth="1"/>
    <col min="3595" max="3595" width="9.140625" style="39" customWidth="1"/>
    <col min="3596" max="3596" width="8.85546875" style="39" customWidth="1"/>
    <col min="3597" max="3597" width="23.140625" style="39" customWidth="1"/>
    <col min="3598" max="3598" width="15" style="39" bestFit="1" customWidth="1"/>
    <col min="3599" max="3840" width="9.140625" style="39"/>
    <col min="3841" max="3841" width="7.140625" style="39" customWidth="1"/>
    <col min="3842" max="3842" width="34.5703125" style="39" customWidth="1"/>
    <col min="3843" max="3843" width="39.140625" style="39" customWidth="1"/>
    <col min="3844" max="3845" width="20.140625" style="39" bestFit="1" customWidth="1"/>
    <col min="3846" max="3846" width="18.28515625" style="39" bestFit="1" customWidth="1"/>
    <col min="3847" max="3847" width="9.7109375" style="39" customWidth="1"/>
    <col min="3848" max="3848" width="29.5703125" style="39" customWidth="1"/>
    <col min="3849" max="3849" width="23.28515625" style="39" customWidth="1"/>
    <col min="3850" max="3850" width="7.5703125" style="39" customWidth="1"/>
    <col min="3851" max="3851" width="9.140625" style="39" customWidth="1"/>
    <col min="3852" max="3852" width="8.85546875" style="39" customWidth="1"/>
    <col min="3853" max="3853" width="23.140625" style="39" customWidth="1"/>
    <col min="3854" max="3854" width="15" style="39" bestFit="1" customWidth="1"/>
    <col min="3855" max="4096" width="9.140625" style="39"/>
    <col min="4097" max="4097" width="7.140625" style="39" customWidth="1"/>
    <col min="4098" max="4098" width="34.5703125" style="39" customWidth="1"/>
    <col min="4099" max="4099" width="39.140625" style="39" customWidth="1"/>
    <col min="4100" max="4101" width="20.140625" style="39" bestFit="1" customWidth="1"/>
    <col min="4102" max="4102" width="18.28515625" style="39" bestFit="1" customWidth="1"/>
    <col min="4103" max="4103" width="9.7109375" style="39" customWidth="1"/>
    <col min="4104" max="4104" width="29.5703125" style="39" customWidth="1"/>
    <col min="4105" max="4105" width="23.28515625" style="39" customWidth="1"/>
    <col min="4106" max="4106" width="7.5703125" style="39" customWidth="1"/>
    <col min="4107" max="4107" width="9.140625" style="39" customWidth="1"/>
    <col min="4108" max="4108" width="8.85546875" style="39" customWidth="1"/>
    <col min="4109" max="4109" width="23.140625" style="39" customWidth="1"/>
    <col min="4110" max="4110" width="15" style="39" bestFit="1" customWidth="1"/>
    <col min="4111" max="4352" width="9.140625" style="39"/>
    <col min="4353" max="4353" width="7.140625" style="39" customWidth="1"/>
    <col min="4354" max="4354" width="34.5703125" style="39" customWidth="1"/>
    <col min="4355" max="4355" width="39.140625" style="39" customWidth="1"/>
    <col min="4356" max="4357" width="20.140625" style="39" bestFit="1" customWidth="1"/>
    <col min="4358" max="4358" width="18.28515625" style="39" bestFit="1" customWidth="1"/>
    <col min="4359" max="4359" width="9.7109375" style="39" customWidth="1"/>
    <col min="4360" max="4360" width="29.5703125" style="39" customWidth="1"/>
    <col min="4361" max="4361" width="23.28515625" style="39" customWidth="1"/>
    <col min="4362" max="4362" width="7.5703125" style="39" customWidth="1"/>
    <col min="4363" max="4363" width="9.140625" style="39" customWidth="1"/>
    <col min="4364" max="4364" width="8.85546875" style="39" customWidth="1"/>
    <col min="4365" max="4365" width="23.140625" style="39" customWidth="1"/>
    <col min="4366" max="4366" width="15" style="39" bestFit="1" customWidth="1"/>
    <col min="4367" max="4608" width="9.140625" style="39"/>
    <col min="4609" max="4609" width="7.140625" style="39" customWidth="1"/>
    <col min="4610" max="4610" width="34.5703125" style="39" customWidth="1"/>
    <col min="4611" max="4611" width="39.140625" style="39" customWidth="1"/>
    <col min="4612" max="4613" width="20.140625" style="39" bestFit="1" customWidth="1"/>
    <col min="4614" max="4614" width="18.28515625" style="39" bestFit="1" customWidth="1"/>
    <col min="4615" max="4615" width="9.7109375" style="39" customWidth="1"/>
    <col min="4616" max="4616" width="29.5703125" style="39" customWidth="1"/>
    <col min="4617" max="4617" width="23.28515625" style="39" customWidth="1"/>
    <col min="4618" max="4618" width="7.5703125" style="39" customWidth="1"/>
    <col min="4619" max="4619" width="9.140625" style="39" customWidth="1"/>
    <col min="4620" max="4620" width="8.85546875" style="39" customWidth="1"/>
    <col min="4621" max="4621" width="23.140625" style="39" customWidth="1"/>
    <col min="4622" max="4622" width="15" style="39" bestFit="1" customWidth="1"/>
    <col min="4623" max="4864" width="9.140625" style="39"/>
    <col min="4865" max="4865" width="7.140625" style="39" customWidth="1"/>
    <col min="4866" max="4866" width="34.5703125" style="39" customWidth="1"/>
    <col min="4867" max="4867" width="39.140625" style="39" customWidth="1"/>
    <col min="4868" max="4869" width="20.140625" style="39" bestFit="1" customWidth="1"/>
    <col min="4870" max="4870" width="18.28515625" style="39" bestFit="1" customWidth="1"/>
    <col min="4871" max="4871" width="9.7109375" style="39" customWidth="1"/>
    <col min="4872" max="4872" width="29.5703125" style="39" customWidth="1"/>
    <col min="4873" max="4873" width="23.28515625" style="39" customWidth="1"/>
    <col min="4874" max="4874" width="7.5703125" style="39" customWidth="1"/>
    <col min="4875" max="4875" width="9.140625" style="39" customWidth="1"/>
    <col min="4876" max="4876" width="8.85546875" style="39" customWidth="1"/>
    <col min="4877" max="4877" width="23.140625" style="39" customWidth="1"/>
    <col min="4878" max="4878" width="15" style="39" bestFit="1" customWidth="1"/>
    <col min="4879" max="5120" width="9.140625" style="39"/>
    <col min="5121" max="5121" width="7.140625" style="39" customWidth="1"/>
    <col min="5122" max="5122" width="34.5703125" style="39" customWidth="1"/>
    <col min="5123" max="5123" width="39.140625" style="39" customWidth="1"/>
    <col min="5124" max="5125" width="20.140625" style="39" bestFit="1" customWidth="1"/>
    <col min="5126" max="5126" width="18.28515625" style="39" bestFit="1" customWidth="1"/>
    <col min="5127" max="5127" width="9.7109375" style="39" customWidth="1"/>
    <col min="5128" max="5128" width="29.5703125" style="39" customWidth="1"/>
    <col min="5129" max="5129" width="23.28515625" style="39" customWidth="1"/>
    <col min="5130" max="5130" width="7.5703125" style="39" customWidth="1"/>
    <col min="5131" max="5131" width="9.140625" style="39" customWidth="1"/>
    <col min="5132" max="5132" width="8.85546875" style="39" customWidth="1"/>
    <col min="5133" max="5133" width="23.140625" style="39" customWidth="1"/>
    <col min="5134" max="5134" width="15" style="39" bestFit="1" customWidth="1"/>
    <col min="5135" max="5376" width="9.140625" style="39"/>
    <col min="5377" max="5377" width="7.140625" style="39" customWidth="1"/>
    <col min="5378" max="5378" width="34.5703125" style="39" customWidth="1"/>
    <col min="5379" max="5379" width="39.140625" style="39" customWidth="1"/>
    <col min="5380" max="5381" width="20.140625" style="39" bestFit="1" customWidth="1"/>
    <col min="5382" max="5382" width="18.28515625" style="39" bestFit="1" customWidth="1"/>
    <col min="5383" max="5383" width="9.7109375" style="39" customWidth="1"/>
    <col min="5384" max="5384" width="29.5703125" style="39" customWidth="1"/>
    <col min="5385" max="5385" width="23.28515625" style="39" customWidth="1"/>
    <col min="5386" max="5386" width="7.5703125" style="39" customWidth="1"/>
    <col min="5387" max="5387" width="9.140625" style="39" customWidth="1"/>
    <col min="5388" max="5388" width="8.85546875" style="39" customWidth="1"/>
    <col min="5389" max="5389" width="23.140625" style="39" customWidth="1"/>
    <col min="5390" max="5390" width="15" style="39" bestFit="1" customWidth="1"/>
    <col min="5391" max="5632" width="9.140625" style="39"/>
    <col min="5633" max="5633" width="7.140625" style="39" customWidth="1"/>
    <col min="5634" max="5634" width="34.5703125" style="39" customWidth="1"/>
    <col min="5635" max="5635" width="39.140625" style="39" customWidth="1"/>
    <col min="5636" max="5637" width="20.140625" style="39" bestFit="1" customWidth="1"/>
    <col min="5638" max="5638" width="18.28515625" style="39" bestFit="1" customWidth="1"/>
    <col min="5639" max="5639" width="9.7109375" style="39" customWidth="1"/>
    <col min="5640" max="5640" width="29.5703125" style="39" customWidth="1"/>
    <col min="5641" max="5641" width="23.28515625" style="39" customWidth="1"/>
    <col min="5642" max="5642" width="7.5703125" style="39" customWidth="1"/>
    <col min="5643" max="5643" width="9.140625" style="39" customWidth="1"/>
    <col min="5644" max="5644" width="8.85546875" style="39" customWidth="1"/>
    <col min="5645" max="5645" width="23.140625" style="39" customWidth="1"/>
    <col min="5646" max="5646" width="15" style="39" bestFit="1" customWidth="1"/>
    <col min="5647" max="5888" width="9.140625" style="39"/>
    <col min="5889" max="5889" width="7.140625" style="39" customWidth="1"/>
    <col min="5890" max="5890" width="34.5703125" style="39" customWidth="1"/>
    <col min="5891" max="5891" width="39.140625" style="39" customWidth="1"/>
    <col min="5892" max="5893" width="20.140625" style="39" bestFit="1" customWidth="1"/>
    <col min="5894" max="5894" width="18.28515625" style="39" bestFit="1" customWidth="1"/>
    <col min="5895" max="5895" width="9.7109375" style="39" customWidth="1"/>
    <col min="5896" max="5896" width="29.5703125" style="39" customWidth="1"/>
    <col min="5897" max="5897" width="23.28515625" style="39" customWidth="1"/>
    <col min="5898" max="5898" width="7.5703125" style="39" customWidth="1"/>
    <col min="5899" max="5899" width="9.140625" style="39" customWidth="1"/>
    <col min="5900" max="5900" width="8.85546875" style="39" customWidth="1"/>
    <col min="5901" max="5901" width="23.140625" style="39" customWidth="1"/>
    <col min="5902" max="5902" width="15" style="39" bestFit="1" customWidth="1"/>
    <col min="5903" max="6144" width="9.140625" style="39"/>
    <col min="6145" max="6145" width="7.140625" style="39" customWidth="1"/>
    <col min="6146" max="6146" width="34.5703125" style="39" customWidth="1"/>
    <col min="6147" max="6147" width="39.140625" style="39" customWidth="1"/>
    <col min="6148" max="6149" width="20.140625" style="39" bestFit="1" customWidth="1"/>
    <col min="6150" max="6150" width="18.28515625" style="39" bestFit="1" customWidth="1"/>
    <col min="6151" max="6151" width="9.7109375" style="39" customWidth="1"/>
    <col min="6152" max="6152" width="29.5703125" style="39" customWidth="1"/>
    <col min="6153" max="6153" width="23.28515625" style="39" customWidth="1"/>
    <col min="6154" max="6154" width="7.5703125" style="39" customWidth="1"/>
    <col min="6155" max="6155" width="9.140625" style="39" customWidth="1"/>
    <col min="6156" max="6156" width="8.85546875" style="39" customWidth="1"/>
    <col min="6157" max="6157" width="23.140625" style="39" customWidth="1"/>
    <col min="6158" max="6158" width="15" style="39" bestFit="1" customWidth="1"/>
    <col min="6159" max="6400" width="9.140625" style="39"/>
    <col min="6401" max="6401" width="7.140625" style="39" customWidth="1"/>
    <col min="6402" max="6402" width="34.5703125" style="39" customWidth="1"/>
    <col min="6403" max="6403" width="39.140625" style="39" customWidth="1"/>
    <col min="6404" max="6405" width="20.140625" style="39" bestFit="1" customWidth="1"/>
    <col min="6406" max="6406" width="18.28515625" style="39" bestFit="1" customWidth="1"/>
    <col min="6407" max="6407" width="9.7109375" style="39" customWidth="1"/>
    <col min="6408" max="6408" width="29.5703125" style="39" customWidth="1"/>
    <col min="6409" max="6409" width="23.28515625" style="39" customWidth="1"/>
    <col min="6410" max="6410" width="7.5703125" style="39" customWidth="1"/>
    <col min="6411" max="6411" width="9.140625" style="39" customWidth="1"/>
    <col min="6412" max="6412" width="8.85546875" style="39" customWidth="1"/>
    <col min="6413" max="6413" width="23.140625" style="39" customWidth="1"/>
    <col min="6414" max="6414" width="15" style="39" bestFit="1" customWidth="1"/>
    <col min="6415" max="6656" width="9.140625" style="39"/>
    <col min="6657" max="6657" width="7.140625" style="39" customWidth="1"/>
    <col min="6658" max="6658" width="34.5703125" style="39" customWidth="1"/>
    <col min="6659" max="6659" width="39.140625" style="39" customWidth="1"/>
    <col min="6660" max="6661" width="20.140625" style="39" bestFit="1" customWidth="1"/>
    <col min="6662" max="6662" width="18.28515625" style="39" bestFit="1" customWidth="1"/>
    <col min="6663" max="6663" width="9.7109375" style="39" customWidth="1"/>
    <col min="6664" max="6664" width="29.5703125" style="39" customWidth="1"/>
    <col min="6665" max="6665" width="23.28515625" style="39" customWidth="1"/>
    <col min="6666" max="6666" width="7.5703125" style="39" customWidth="1"/>
    <col min="6667" max="6667" width="9.140625" style="39" customWidth="1"/>
    <col min="6668" max="6668" width="8.85546875" style="39" customWidth="1"/>
    <col min="6669" max="6669" width="23.140625" style="39" customWidth="1"/>
    <col min="6670" max="6670" width="15" style="39" bestFit="1" customWidth="1"/>
    <col min="6671" max="6912" width="9.140625" style="39"/>
    <col min="6913" max="6913" width="7.140625" style="39" customWidth="1"/>
    <col min="6914" max="6914" width="34.5703125" style="39" customWidth="1"/>
    <col min="6915" max="6915" width="39.140625" style="39" customWidth="1"/>
    <col min="6916" max="6917" width="20.140625" style="39" bestFit="1" customWidth="1"/>
    <col min="6918" max="6918" width="18.28515625" style="39" bestFit="1" customWidth="1"/>
    <col min="6919" max="6919" width="9.7109375" style="39" customWidth="1"/>
    <col min="6920" max="6920" width="29.5703125" style="39" customWidth="1"/>
    <col min="6921" max="6921" width="23.28515625" style="39" customWidth="1"/>
    <col min="6922" max="6922" width="7.5703125" style="39" customWidth="1"/>
    <col min="6923" max="6923" width="9.140625" style="39" customWidth="1"/>
    <col min="6924" max="6924" width="8.85546875" style="39" customWidth="1"/>
    <col min="6925" max="6925" width="23.140625" style="39" customWidth="1"/>
    <col min="6926" max="6926" width="15" style="39" bestFit="1" customWidth="1"/>
    <col min="6927" max="7168" width="9.140625" style="39"/>
    <col min="7169" max="7169" width="7.140625" style="39" customWidth="1"/>
    <col min="7170" max="7170" width="34.5703125" style="39" customWidth="1"/>
    <col min="7171" max="7171" width="39.140625" style="39" customWidth="1"/>
    <col min="7172" max="7173" width="20.140625" style="39" bestFit="1" customWidth="1"/>
    <col min="7174" max="7174" width="18.28515625" style="39" bestFit="1" customWidth="1"/>
    <col min="7175" max="7175" width="9.7109375" style="39" customWidth="1"/>
    <col min="7176" max="7176" width="29.5703125" style="39" customWidth="1"/>
    <col min="7177" max="7177" width="23.28515625" style="39" customWidth="1"/>
    <col min="7178" max="7178" width="7.5703125" style="39" customWidth="1"/>
    <col min="7179" max="7179" width="9.140625" style="39" customWidth="1"/>
    <col min="7180" max="7180" width="8.85546875" style="39" customWidth="1"/>
    <col min="7181" max="7181" width="23.140625" style="39" customWidth="1"/>
    <col min="7182" max="7182" width="15" style="39" bestFit="1" customWidth="1"/>
    <col min="7183" max="7424" width="9.140625" style="39"/>
    <col min="7425" max="7425" width="7.140625" style="39" customWidth="1"/>
    <col min="7426" max="7426" width="34.5703125" style="39" customWidth="1"/>
    <col min="7427" max="7427" width="39.140625" style="39" customWidth="1"/>
    <col min="7428" max="7429" width="20.140625" style="39" bestFit="1" customWidth="1"/>
    <col min="7430" max="7430" width="18.28515625" style="39" bestFit="1" customWidth="1"/>
    <col min="7431" max="7431" width="9.7109375" style="39" customWidth="1"/>
    <col min="7432" max="7432" width="29.5703125" style="39" customWidth="1"/>
    <col min="7433" max="7433" width="23.28515625" style="39" customWidth="1"/>
    <col min="7434" max="7434" width="7.5703125" style="39" customWidth="1"/>
    <col min="7435" max="7435" width="9.140625" style="39" customWidth="1"/>
    <col min="7436" max="7436" width="8.85546875" style="39" customWidth="1"/>
    <col min="7437" max="7437" width="23.140625" style="39" customWidth="1"/>
    <col min="7438" max="7438" width="15" style="39" bestFit="1" customWidth="1"/>
    <col min="7439" max="7680" width="9.140625" style="39"/>
    <col min="7681" max="7681" width="7.140625" style="39" customWidth="1"/>
    <col min="7682" max="7682" width="34.5703125" style="39" customWidth="1"/>
    <col min="7683" max="7683" width="39.140625" style="39" customWidth="1"/>
    <col min="7684" max="7685" width="20.140625" style="39" bestFit="1" customWidth="1"/>
    <col min="7686" max="7686" width="18.28515625" style="39" bestFit="1" customWidth="1"/>
    <col min="7687" max="7687" width="9.7109375" style="39" customWidth="1"/>
    <col min="7688" max="7688" width="29.5703125" style="39" customWidth="1"/>
    <col min="7689" max="7689" width="23.28515625" style="39" customWidth="1"/>
    <col min="7690" max="7690" width="7.5703125" style="39" customWidth="1"/>
    <col min="7691" max="7691" width="9.140625" style="39" customWidth="1"/>
    <col min="7692" max="7692" width="8.85546875" style="39" customWidth="1"/>
    <col min="7693" max="7693" width="23.140625" style="39" customWidth="1"/>
    <col min="7694" max="7694" width="15" style="39" bestFit="1" customWidth="1"/>
    <col min="7695" max="7936" width="9.140625" style="39"/>
    <col min="7937" max="7937" width="7.140625" style="39" customWidth="1"/>
    <col min="7938" max="7938" width="34.5703125" style="39" customWidth="1"/>
    <col min="7939" max="7939" width="39.140625" style="39" customWidth="1"/>
    <col min="7940" max="7941" width="20.140625" style="39" bestFit="1" customWidth="1"/>
    <col min="7942" max="7942" width="18.28515625" style="39" bestFit="1" customWidth="1"/>
    <col min="7943" max="7943" width="9.7109375" style="39" customWidth="1"/>
    <col min="7944" max="7944" width="29.5703125" style="39" customWidth="1"/>
    <col min="7945" max="7945" width="23.28515625" style="39" customWidth="1"/>
    <col min="7946" max="7946" width="7.5703125" style="39" customWidth="1"/>
    <col min="7947" max="7947" width="9.140625" style="39" customWidth="1"/>
    <col min="7948" max="7948" width="8.85546875" style="39" customWidth="1"/>
    <col min="7949" max="7949" width="23.140625" style="39" customWidth="1"/>
    <col min="7950" max="7950" width="15" style="39" bestFit="1" customWidth="1"/>
    <col min="7951" max="8192" width="9.140625" style="39"/>
    <col min="8193" max="8193" width="7.140625" style="39" customWidth="1"/>
    <col min="8194" max="8194" width="34.5703125" style="39" customWidth="1"/>
    <col min="8195" max="8195" width="39.140625" style="39" customWidth="1"/>
    <col min="8196" max="8197" width="20.140625" style="39" bestFit="1" customWidth="1"/>
    <col min="8198" max="8198" width="18.28515625" style="39" bestFit="1" customWidth="1"/>
    <col min="8199" max="8199" width="9.7109375" style="39" customWidth="1"/>
    <col min="8200" max="8200" width="29.5703125" style="39" customWidth="1"/>
    <col min="8201" max="8201" width="23.28515625" style="39" customWidth="1"/>
    <col min="8202" max="8202" width="7.5703125" style="39" customWidth="1"/>
    <col min="8203" max="8203" width="9.140625" style="39" customWidth="1"/>
    <col min="8204" max="8204" width="8.85546875" style="39" customWidth="1"/>
    <col min="8205" max="8205" width="23.140625" style="39" customWidth="1"/>
    <col min="8206" max="8206" width="15" style="39" bestFit="1" customWidth="1"/>
    <col min="8207" max="8448" width="9.140625" style="39"/>
    <col min="8449" max="8449" width="7.140625" style="39" customWidth="1"/>
    <col min="8450" max="8450" width="34.5703125" style="39" customWidth="1"/>
    <col min="8451" max="8451" width="39.140625" style="39" customWidth="1"/>
    <col min="8452" max="8453" width="20.140625" style="39" bestFit="1" customWidth="1"/>
    <col min="8454" max="8454" width="18.28515625" style="39" bestFit="1" customWidth="1"/>
    <col min="8455" max="8455" width="9.7109375" style="39" customWidth="1"/>
    <col min="8456" max="8456" width="29.5703125" style="39" customWidth="1"/>
    <col min="8457" max="8457" width="23.28515625" style="39" customWidth="1"/>
    <col min="8458" max="8458" width="7.5703125" style="39" customWidth="1"/>
    <col min="8459" max="8459" width="9.140625" style="39" customWidth="1"/>
    <col min="8460" max="8460" width="8.85546875" style="39" customWidth="1"/>
    <col min="8461" max="8461" width="23.140625" style="39" customWidth="1"/>
    <col min="8462" max="8462" width="15" style="39" bestFit="1" customWidth="1"/>
    <col min="8463" max="8704" width="9.140625" style="39"/>
    <col min="8705" max="8705" width="7.140625" style="39" customWidth="1"/>
    <col min="8706" max="8706" width="34.5703125" style="39" customWidth="1"/>
    <col min="8707" max="8707" width="39.140625" style="39" customWidth="1"/>
    <col min="8708" max="8709" width="20.140625" style="39" bestFit="1" customWidth="1"/>
    <col min="8710" max="8710" width="18.28515625" style="39" bestFit="1" customWidth="1"/>
    <col min="8711" max="8711" width="9.7109375" style="39" customWidth="1"/>
    <col min="8712" max="8712" width="29.5703125" style="39" customWidth="1"/>
    <col min="8713" max="8713" width="23.28515625" style="39" customWidth="1"/>
    <col min="8714" max="8714" width="7.5703125" style="39" customWidth="1"/>
    <col min="8715" max="8715" width="9.140625" style="39" customWidth="1"/>
    <col min="8716" max="8716" width="8.85546875" style="39" customWidth="1"/>
    <col min="8717" max="8717" width="23.140625" style="39" customWidth="1"/>
    <col min="8718" max="8718" width="15" style="39" bestFit="1" customWidth="1"/>
    <col min="8719" max="8960" width="9.140625" style="39"/>
    <col min="8961" max="8961" width="7.140625" style="39" customWidth="1"/>
    <col min="8962" max="8962" width="34.5703125" style="39" customWidth="1"/>
    <col min="8963" max="8963" width="39.140625" style="39" customWidth="1"/>
    <col min="8964" max="8965" width="20.140625" style="39" bestFit="1" customWidth="1"/>
    <col min="8966" max="8966" width="18.28515625" style="39" bestFit="1" customWidth="1"/>
    <col min="8967" max="8967" width="9.7109375" style="39" customWidth="1"/>
    <col min="8968" max="8968" width="29.5703125" style="39" customWidth="1"/>
    <col min="8969" max="8969" width="23.28515625" style="39" customWidth="1"/>
    <col min="8970" max="8970" width="7.5703125" style="39" customWidth="1"/>
    <col min="8971" max="8971" width="9.140625" style="39" customWidth="1"/>
    <col min="8972" max="8972" width="8.85546875" style="39" customWidth="1"/>
    <col min="8973" max="8973" width="23.140625" style="39" customWidth="1"/>
    <col min="8974" max="8974" width="15" style="39" bestFit="1" customWidth="1"/>
    <col min="8975" max="9216" width="9.140625" style="39"/>
    <col min="9217" max="9217" width="7.140625" style="39" customWidth="1"/>
    <col min="9218" max="9218" width="34.5703125" style="39" customWidth="1"/>
    <col min="9219" max="9219" width="39.140625" style="39" customWidth="1"/>
    <col min="9220" max="9221" width="20.140625" style="39" bestFit="1" customWidth="1"/>
    <col min="9222" max="9222" width="18.28515625" style="39" bestFit="1" customWidth="1"/>
    <col min="9223" max="9223" width="9.7109375" style="39" customWidth="1"/>
    <col min="9224" max="9224" width="29.5703125" style="39" customWidth="1"/>
    <col min="9225" max="9225" width="23.28515625" style="39" customWidth="1"/>
    <col min="9226" max="9226" width="7.5703125" style="39" customWidth="1"/>
    <col min="9227" max="9227" width="9.140625" style="39" customWidth="1"/>
    <col min="9228" max="9228" width="8.85546875" style="39" customWidth="1"/>
    <col min="9229" max="9229" width="23.140625" style="39" customWidth="1"/>
    <col min="9230" max="9230" width="15" style="39" bestFit="1" customWidth="1"/>
    <col min="9231" max="9472" width="9.140625" style="39"/>
    <col min="9473" max="9473" width="7.140625" style="39" customWidth="1"/>
    <col min="9474" max="9474" width="34.5703125" style="39" customWidth="1"/>
    <col min="9475" max="9475" width="39.140625" style="39" customWidth="1"/>
    <col min="9476" max="9477" width="20.140625" style="39" bestFit="1" customWidth="1"/>
    <col min="9478" max="9478" width="18.28515625" style="39" bestFit="1" customWidth="1"/>
    <col min="9479" max="9479" width="9.7109375" style="39" customWidth="1"/>
    <col min="9480" max="9480" width="29.5703125" style="39" customWidth="1"/>
    <col min="9481" max="9481" width="23.28515625" style="39" customWidth="1"/>
    <col min="9482" max="9482" width="7.5703125" style="39" customWidth="1"/>
    <col min="9483" max="9483" width="9.140625" style="39" customWidth="1"/>
    <col min="9484" max="9484" width="8.85546875" style="39" customWidth="1"/>
    <col min="9485" max="9485" width="23.140625" style="39" customWidth="1"/>
    <col min="9486" max="9486" width="15" style="39" bestFit="1" customWidth="1"/>
    <col min="9487" max="9728" width="9.140625" style="39"/>
    <col min="9729" max="9729" width="7.140625" style="39" customWidth="1"/>
    <col min="9730" max="9730" width="34.5703125" style="39" customWidth="1"/>
    <col min="9731" max="9731" width="39.140625" style="39" customWidth="1"/>
    <col min="9732" max="9733" width="20.140625" style="39" bestFit="1" customWidth="1"/>
    <col min="9734" max="9734" width="18.28515625" style="39" bestFit="1" customWidth="1"/>
    <col min="9735" max="9735" width="9.7109375" style="39" customWidth="1"/>
    <col min="9736" max="9736" width="29.5703125" style="39" customWidth="1"/>
    <col min="9737" max="9737" width="23.28515625" style="39" customWidth="1"/>
    <col min="9738" max="9738" width="7.5703125" style="39" customWidth="1"/>
    <col min="9739" max="9739" width="9.140625" style="39" customWidth="1"/>
    <col min="9740" max="9740" width="8.85546875" style="39" customWidth="1"/>
    <col min="9741" max="9741" width="23.140625" style="39" customWidth="1"/>
    <col min="9742" max="9742" width="15" style="39" bestFit="1" customWidth="1"/>
    <col min="9743" max="9984" width="9.140625" style="39"/>
    <col min="9985" max="9985" width="7.140625" style="39" customWidth="1"/>
    <col min="9986" max="9986" width="34.5703125" style="39" customWidth="1"/>
    <col min="9987" max="9987" width="39.140625" style="39" customWidth="1"/>
    <col min="9988" max="9989" width="20.140625" style="39" bestFit="1" customWidth="1"/>
    <col min="9990" max="9990" width="18.28515625" style="39" bestFit="1" customWidth="1"/>
    <col min="9991" max="9991" width="9.7109375" style="39" customWidth="1"/>
    <col min="9992" max="9992" width="29.5703125" style="39" customWidth="1"/>
    <col min="9993" max="9993" width="23.28515625" style="39" customWidth="1"/>
    <col min="9994" max="9994" width="7.5703125" style="39" customWidth="1"/>
    <col min="9995" max="9995" width="9.140625" style="39" customWidth="1"/>
    <col min="9996" max="9996" width="8.85546875" style="39" customWidth="1"/>
    <col min="9997" max="9997" width="23.140625" style="39" customWidth="1"/>
    <col min="9998" max="9998" width="15" style="39" bestFit="1" customWidth="1"/>
    <col min="9999" max="10240" width="9.140625" style="39"/>
    <col min="10241" max="10241" width="7.140625" style="39" customWidth="1"/>
    <col min="10242" max="10242" width="34.5703125" style="39" customWidth="1"/>
    <col min="10243" max="10243" width="39.140625" style="39" customWidth="1"/>
    <col min="10244" max="10245" width="20.140625" style="39" bestFit="1" customWidth="1"/>
    <col min="10246" max="10246" width="18.28515625" style="39" bestFit="1" customWidth="1"/>
    <col min="10247" max="10247" width="9.7109375" style="39" customWidth="1"/>
    <col min="10248" max="10248" width="29.5703125" style="39" customWidth="1"/>
    <col min="10249" max="10249" width="23.28515625" style="39" customWidth="1"/>
    <col min="10250" max="10250" width="7.5703125" style="39" customWidth="1"/>
    <col min="10251" max="10251" width="9.140625" style="39" customWidth="1"/>
    <col min="10252" max="10252" width="8.85546875" style="39" customWidth="1"/>
    <col min="10253" max="10253" width="23.140625" style="39" customWidth="1"/>
    <col min="10254" max="10254" width="15" style="39" bestFit="1" customWidth="1"/>
    <col min="10255" max="10496" width="9.140625" style="39"/>
    <col min="10497" max="10497" width="7.140625" style="39" customWidth="1"/>
    <col min="10498" max="10498" width="34.5703125" style="39" customWidth="1"/>
    <col min="10499" max="10499" width="39.140625" style="39" customWidth="1"/>
    <col min="10500" max="10501" width="20.140625" style="39" bestFit="1" customWidth="1"/>
    <col min="10502" max="10502" width="18.28515625" style="39" bestFit="1" customWidth="1"/>
    <col min="10503" max="10503" width="9.7109375" style="39" customWidth="1"/>
    <col min="10504" max="10504" width="29.5703125" style="39" customWidth="1"/>
    <col min="10505" max="10505" width="23.28515625" style="39" customWidth="1"/>
    <col min="10506" max="10506" width="7.5703125" style="39" customWidth="1"/>
    <col min="10507" max="10507" width="9.140625" style="39" customWidth="1"/>
    <col min="10508" max="10508" width="8.85546875" style="39" customWidth="1"/>
    <col min="10509" max="10509" width="23.140625" style="39" customWidth="1"/>
    <col min="10510" max="10510" width="15" style="39" bestFit="1" customWidth="1"/>
    <col min="10511" max="10752" width="9.140625" style="39"/>
    <col min="10753" max="10753" width="7.140625" style="39" customWidth="1"/>
    <col min="10754" max="10754" width="34.5703125" style="39" customWidth="1"/>
    <col min="10755" max="10755" width="39.140625" style="39" customWidth="1"/>
    <col min="10756" max="10757" width="20.140625" style="39" bestFit="1" customWidth="1"/>
    <col min="10758" max="10758" width="18.28515625" style="39" bestFit="1" customWidth="1"/>
    <col min="10759" max="10759" width="9.7109375" style="39" customWidth="1"/>
    <col min="10760" max="10760" width="29.5703125" style="39" customWidth="1"/>
    <col min="10761" max="10761" width="23.28515625" style="39" customWidth="1"/>
    <col min="10762" max="10762" width="7.5703125" style="39" customWidth="1"/>
    <col min="10763" max="10763" width="9.140625" style="39" customWidth="1"/>
    <col min="10764" max="10764" width="8.85546875" style="39" customWidth="1"/>
    <col min="10765" max="10765" width="23.140625" style="39" customWidth="1"/>
    <col min="10766" max="10766" width="15" style="39" bestFit="1" customWidth="1"/>
    <col min="10767" max="11008" width="9.140625" style="39"/>
    <col min="11009" max="11009" width="7.140625" style="39" customWidth="1"/>
    <col min="11010" max="11010" width="34.5703125" style="39" customWidth="1"/>
    <col min="11011" max="11011" width="39.140625" style="39" customWidth="1"/>
    <col min="11012" max="11013" width="20.140625" style="39" bestFit="1" customWidth="1"/>
    <col min="11014" max="11014" width="18.28515625" style="39" bestFit="1" customWidth="1"/>
    <col min="11015" max="11015" width="9.7109375" style="39" customWidth="1"/>
    <col min="11016" max="11016" width="29.5703125" style="39" customWidth="1"/>
    <col min="11017" max="11017" width="23.28515625" style="39" customWidth="1"/>
    <col min="11018" max="11018" width="7.5703125" style="39" customWidth="1"/>
    <col min="11019" max="11019" width="9.140625" style="39" customWidth="1"/>
    <col min="11020" max="11020" width="8.85546875" style="39" customWidth="1"/>
    <col min="11021" max="11021" width="23.140625" style="39" customWidth="1"/>
    <col min="11022" max="11022" width="15" style="39" bestFit="1" customWidth="1"/>
    <col min="11023" max="11264" width="9.140625" style="39"/>
    <col min="11265" max="11265" width="7.140625" style="39" customWidth="1"/>
    <col min="11266" max="11266" width="34.5703125" style="39" customWidth="1"/>
    <col min="11267" max="11267" width="39.140625" style="39" customWidth="1"/>
    <col min="11268" max="11269" width="20.140625" style="39" bestFit="1" customWidth="1"/>
    <col min="11270" max="11270" width="18.28515625" style="39" bestFit="1" customWidth="1"/>
    <col min="11271" max="11271" width="9.7109375" style="39" customWidth="1"/>
    <col min="11272" max="11272" width="29.5703125" style="39" customWidth="1"/>
    <col min="11273" max="11273" width="23.28515625" style="39" customWidth="1"/>
    <col min="11274" max="11274" width="7.5703125" style="39" customWidth="1"/>
    <col min="11275" max="11275" width="9.140625" style="39" customWidth="1"/>
    <col min="11276" max="11276" width="8.85546875" style="39" customWidth="1"/>
    <col min="11277" max="11277" width="23.140625" style="39" customWidth="1"/>
    <col min="11278" max="11278" width="15" style="39" bestFit="1" customWidth="1"/>
    <col min="11279" max="11520" width="9.140625" style="39"/>
    <col min="11521" max="11521" width="7.140625" style="39" customWidth="1"/>
    <col min="11522" max="11522" width="34.5703125" style="39" customWidth="1"/>
    <col min="11523" max="11523" width="39.140625" style="39" customWidth="1"/>
    <col min="11524" max="11525" width="20.140625" style="39" bestFit="1" customWidth="1"/>
    <col min="11526" max="11526" width="18.28515625" style="39" bestFit="1" customWidth="1"/>
    <col min="11527" max="11527" width="9.7109375" style="39" customWidth="1"/>
    <col min="11528" max="11528" width="29.5703125" style="39" customWidth="1"/>
    <col min="11529" max="11529" width="23.28515625" style="39" customWidth="1"/>
    <col min="11530" max="11530" width="7.5703125" style="39" customWidth="1"/>
    <col min="11531" max="11531" width="9.140625" style="39" customWidth="1"/>
    <col min="11532" max="11532" width="8.85546875" style="39" customWidth="1"/>
    <col min="11533" max="11533" width="23.140625" style="39" customWidth="1"/>
    <col min="11534" max="11534" width="15" style="39" bestFit="1" customWidth="1"/>
    <col min="11535" max="11776" width="9.140625" style="39"/>
    <col min="11777" max="11777" width="7.140625" style="39" customWidth="1"/>
    <col min="11778" max="11778" width="34.5703125" style="39" customWidth="1"/>
    <col min="11779" max="11779" width="39.140625" style="39" customWidth="1"/>
    <col min="11780" max="11781" width="20.140625" style="39" bestFit="1" customWidth="1"/>
    <col min="11782" max="11782" width="18.28515625" style="39" bestFit="1" customWidth="1"/>
    <col min="11783" max="11783" width="9.7109375" style="39" customWidth="1"/>
    <col min="11784" max="11784" width="29.5703125" style="39" customWidth="1"/>
    <col min="11785" max="11785" width="23.28515625" style="39" customWidth="1"/>
    <col min="11786" max="11786" width="7.5703125" style="39" customWidth="1"/>
    <col min="11787" max="11787" width="9.140625" style="39" customWidth="1"/>
    <col min="11788" max="11788" width="8.85546875" style="39" customWidth="1"/>
    <col min="11789" max="11789" width="23.140625" style="39" customWidth="1"/>
    <col min="11790" max="11790" width="15" style="39" bestFit="1" customWidth="1"/>
    <col min="11791" max="12032" width="9.140625" style="39"/>
    <col min="12033" max="12033" width="7.140625" style="39" customWidth="1"/>
    <col min="12034" max="12034" width="34.5703125" style="39" customWidth="1"/>
    <col min="12035" max="12035" width="39.140625" style="39" customWidth="1"/>
    <col min="12036" max="12037" width="20.140625" style="39" bestFit="1" customWidth="1"/>
    <col min="12038" max="12038" width="18.28515625" style="39" bestFit="1" customWidth="1"/>
    <col min="12039" max="12039" width="9.7109375" style="39" customWidth="1"/>
    <col min="12040" max="12040" width="29.5703125" style="39" customWidth="1"/>
    <col min="12041" max="12041" width="23.28515625" style="39" customWidth="1"/>
    <col min="12042" max="12042" width="7.5703125" style="39" customWidth="1"/>
    <col min="12043" max="12043" width="9.140625" style="39" customWidth="1"/>
    <col min="12044" max="12044" width="8.85546875" style="39" customWidth="1"/>
    <col min="12045" max="12045" width="23.140625" style="39" customWidth="1"/>
    <col min="12046" max="12046" width="15" style="39" bestFit="1" customWidth="1"/>
    <col min="12047" max="12288" width="9.140625" style="39"/>
    <col min="12289" max="12289" width="7.140625" style="39" customWidth="1"/>
    <col min="12290" max="12290" width="34.5703125" style="39" customWidth="1"/>
    <col min="12291" max="12291" width="39.140625" style="39" customWidth="1"/>
    <col min="12292" max="12293" width="20.140625" style="39" bestFit="1" customWidth="1"/>
    <col min="12294" max="12294" width="18.28515625" style="39" bestFit="1" customWidth="1"/>
    <col min="12295" max="12295" width="9.7109375" style="39" customWidth="1"/>
    <col min="12296" max="12296" width="29.5703125" style="39" customWidth="1"/>
    <col min="12297" max="12297" width="23.28515625" style="39" customWidth="1"/>
    <col min="12298" max="12298" width="7.5703125" style="39" customWidth="1"/>
    <col min="12299" max="12299" width="9.140625" style="39" customWidth="1"/>
    <col min="12300" max="12300" width="8.85546875" style="39" customWidth="1"/>
    <col min="12301" max="12301" width="23.140625" style="39" customWidth="1"/>
    <col min="12302" max="12302" width="15" style="39" bestFit="1" customWidth="1"/>
    <col min="12303" max="12544" width="9.140625" style="39"/>
    <col min="12545" max="12545" width="7.140625" style="39" customWidth="1"/>
    <col min="12546" max="12546" width="34.5703125" style="39" customWidth="1"/>
    <col min="12547" max="12547" width="39.140625" style="39" customWidth="1"/>
    <col min="12548" max="12549" width="20.140625" style="39" bestFit="1" customWidth="1"/>
    <col min="12550" max="12550" width="18.28515625" style="39" bestFit="1" customWidth="1"/>
    <col min="12551" max="12551" width="9.7109375" style="39" customWidth="1"/>
    <col min="12552" max="12552" width="29.5703125" style="39" customWidth="1"/>
    <col min="12553" max="12553" width="23.28515625" style="39" customWidth="1"/>
    <col min="12554" max="12554" width="7.5703125" style="39" customWidth="1"/>
    <col min="12555" max="12555" width="9.140625" style="39" customWidth="1"/>
    <col min="12556" max="12556" width="8.85546875" style="39" customWidth="1"/>
    <col min="12557" max="12557" width="23.140625" style="39" customWidth="1"/>
    <col min="12558" max="12558" width="15" style="39" bestFit="1" customWidth="1"/>
    <col min="12559" max="12800" width="9.140625" style="39"/>
    <col min="12801" max="12801" width="7.140625" style="39" customWidth="1"/>
    <col min="12802" max="12802" width="34.5703125" style="39" customWidth="1"/>
    <col min="12803" max="12803" width="39.140625" style="39" customWidth="1"/>
    <col min="12804" max="12805" width="20.140625" style="39" bestFit="1" customWidth="1"/>
    <col min="12806" max="12806" width="18.28515625" style="39" bestFit="1" customWidth="1"/>
    <col min="12807" max="12807" width="9.7109375" style="39" customWidth="1"/>
    <col min="12808" max="12808" width="29.5703125" style="39" customWidth="1"/>
    <col min="12809" max="12809" width="23.28515625" style="39" customWidth="1"/>
    <col min="12810" max="12810" width="7.5703125" style="39" customWidth="1"/>
    <col min="12811" max="12811" width="9.140625" style="39" customWidth="1"/>
    <col min="12812" max="12812" width="8.85546875" style="39" customWidth="1"/>
    <col min="12813" max="12813" width="23.140625" style="39" customWidth="1"/>
    <col min="12814" max="12814" width="15" style="39" bestFit="1" customWidth="1"/>
    <col min="12815" max="13056" width="9.140625" style="39"/>
    <col min="13057" max="13057" width="7.140625" style="39" customWidth="1"/>
    <col min="13058" max="13058" width="34.5703125" style="39" customWidth="1"/>
    <col min="13059" max="13059" width="39.140625" style="39" customWidth="1"/>
    <col min="13060" max="13061" width="20.140625" style="39" bestFit="1" customWidth="1"/>
    <col min="13062" max="13062" width="18.28515625" style="39" bestFit="1" customWidth="1"/>
    <col min="13063" max="13063" width="9.7109375" style="39" customWidth="1"/>
    <col min="13064" max="13064" width="29.5703125" style="39" customWidth="1"/>
    <col min="13065" max="13065" width="23.28515625" style="39" customWidth="1"/>
    <col min="13066" max="13066" width="7.5703125" style="39" customWidth="1"/>
    <col min="13067" max="13067" width="9.140625" style="39" customWidth="1"/>
    <col min="13068" max="13068" width="8.85546875" style="39" customWidth="1"/>
    <col min="13069" max="13069" width="23.140625" style="39" customWidth="1"/>
    <col min="13070" max="13070" width="15" style="39" bestFit="1" customWidth="1"/>
    <col min="13071" max="13312" width="9.140625" style="39"/>
    <col min="13313" max="13313" width="7.140625" style="39" customWidth="1"/>
    <col min="13314" max="13314" width="34.5703125" style="39" customWidth="1"/>
    <col min="13315" max="13315" width="39.140625" style="39" customWidth="1"/>
    <col min="13316" max="13317" width="20.140625" style="39" bestFit="1" customWidth="1"/>
    <col min="13318" max="13318" width="18.28515625" style="39" bestFit="1" customWidth="1"/>
    <col min="13319" max="13319" width="9.7109375" style="39" customWidth="1"/>
    <col min="13320" max="13320" width="29.5703125" style="39" customWidth="1"/>
    <col min="13321" max="13321" width="23.28515625" style="39" customWidth="1"/>
    <col min="13322" max="13322" width="7.5703125" style="39" customWidth="1"/>
    <col min="13323" max="13323" width="9.140625" style="39" customWidth="1"/>
    <col min="13324" max="13324" width="8.85546875" style="39" customWidth="1"/>
    <col min="13325" max="13325" width="23.140625" style="39" customWidth="1"/>
    <col min="13326" max="13326" width="15" style="39" bestFit="1" customWidth="1"/>
    <col min="13327" max="13568" width="9.140625" style="39"/>
    <col min="13569" max="13569" width="7.140625" style="39" customWidth="1"/>
    <col min="13570" max="13570" width="34.5703125" style="39" customWidth="1"/>
    <col min="13571" max="13571" width="39.140625" style="39" customWidth="1"/>
    <col min="13572" max="13573" width="20.140625" style="39" bestFit="1" customWidth="1"/>
    <col min="13574" max="13574" width="18.28515625" style="39" bestFit="1" customWidth="1"/>
    <col min="13575" max="13575" width="9.7109375" style="39" customWidth="1"/>
    <col min="13576" max="13576" width="29.5703125" style="39" customWidth="1"/>
    <col min="13577" max="13577" width="23.28515625" style="39" customWidth="1"/>
    <col min="13578" max="13578" width="7.5703125" style="39" customWidth="1"/>
    <col min="13579" max="13579" width="9.140625" style="39" customWidth="1"/>
    <col min="13580" max="13580" width="8.85546875" style="39" customWidth="1"/>
    <col min="13581" max="13581" width="23.140625" style="39" customWidth="1"/>
    <col min="13582" max="13582" width="15" style="39" bestFit="1" customWidth="1"/>
    <col min="13583" max="13824" width="9.140625" style="39"/>
    <col min="13825" max="13825" width="7.140625" style="39" customWidth="1"/>
    <col min="13826" max="13826" width="34.5703125" style="39" customWidth="1"/>
    <col min="13827" max="13827" width="39.140625" style="39" customWidth="1"/>
    <col min="13828" max="13829" width="20.140625" style="39" bestFit="1" customWidth="1"/>
    <col min="13830" max="13830" width="18.28515625" style="39" bestFit="1" customWidth="1"/>
    <col min="13831" max="13831" width="9.7109375" style="39" customWidth="1"/>
    <col min="13832" max="13832" width="29.5703125" style="39" customWidth="1"/>
    <col min="13833" max="13833" width="23.28515625" style="39" customWidth="1"/>
    <col min="13834" max="13834" width="7.5703125" style="39" customWidth="1"/>
    <col min="13835" max="13835" width="9.140625" style="39" customWidth="1"/>
    <col min="13836" max="13836" width="8.85546875" style="39" customWidth="1"/>
    <col min="13837" max="13837" width="23.140625" style="39" customWidth="1"/>
    <col min="13838" max="13838" width="15" style="39" bestFit="1" customWidth="1"/>
    <col min="13839" max="14080" width="9.140625" style="39"/>
    <col min="14081" max="14081" width="7.140625" style="39" customWidth="1"/>
    <col min="14082" max="14082" width="34.5703125" style="39" customWidth="1"/>
    <col min="14083" max="14083" width="39.140625" style="39" customWidth="1"/>
    <col min="14084" max="14085" width="20.140625" style="39" bestFit="1" customWidth="1"/>
    <col min="14086" max="14086" width="18.28515625" style="39" bestFit="1" customWidth="1"/>
    <col min="14087" max="14087" width="9.7109375" style="39" customWidth="1"/>
    <col min="14088" max="14088" width="29.5703125" style="39" customWidth="1"/>
    <col min="14089" max="14089" width="23.28515625" style="39" customWidth="1"/>
    <col min="14090" max="14090" width="7.5703125" style="39" customWidth="1"/>
    <col min="14091" max="14091" width="9.140625" style="39" customWidth="1"/>
    <col min="14092" max="14092" width="8.85546875" style="39" customWidth="1"/>
    <col min="14093" max="14093" width="23.140625" style="39" customWidth="1"/>
    <col min="14094" max="14094" width="15" style="39" bestFit="1" customWidth="1"/>
    <col min="14095" max="14336" width="9.140625" style="39"/>
    <col min="14337" max="14337" width="7.140625" style="39" customWidth="1"/>
    <col min="14338" max="14338" width="34.5703125" style="39" customWidth="1"/>
    <col min="14339" max="14339" width="39.140625" style="39" customWidth="1"/>
    <col min="14340" max="14341" width="20.140625" style="39" bestFit="1" customWidth="1"/>
    <col min="14342" max="14342" width="18.28515625" style="39" bestFit="1" customWidth="1"/>
    <col min="14343" max="14343" width="9.7109375" style="39" customWidth="1"/>
    <col min="14344" max="14344" width="29.5703125" style="39" customWidth="1"/>
    <col min="14345" max="14345" width="23.28515625" style="39" customWidth="1"/>
    <col min="14346" max="14346" width="7.5703125" style="39" customWidth="1"/>
    <col min="14347" max="14347" width="9.140625" style="39" customWidth="1"/>
    <col min="14348" max="14348" width="8.85546875" style="39" customWidth="1"/>
    <col min="14349" max="14349" width="23.140625" style="39" customWidth="1"/>
    <col min="14350" max="14350" width="15" style="39" bestFit="1" customWidth="1"/>
    <col min="14351" max="14592" width="9.140625" style="39"/>
    <col min="14593" max="14593" width="7.140625" style="39" customWidth="1"/>
    <col min="14594" max="14594" width="34.5703125" style="39" customWidth="1"/>
    <col min="14595" max="14595" width="39.140625" style="39" customWidth="1"/>
    <col min="14596" max="14597" width="20.140625" style="39" bestFit="1" customWidth="1"/>
    <col min="14598" max="14598" width="18.28515625" style="39" bestFit="1" customWidth="1"/>
    <col min="14599" max="14599" width="9.7109375" style="39" customWidth="1"/>
    <col min="14600" max="14600" width="29.5703125" style="39" customWidth="1"/>
    <col min="14601" max="14601" width="23.28515625" style="39" customWidth="1"/>
    <col min="14602" max="14602" width="7.5703125" style="39" customWidth="1"/>
    <col min="14603" max="14603" width="9.140625" style="39" customWidth="1"/>
    <col min="14604" max="14604" width="8.85546875" style="39" customWidth="1"/>
    <col min="14605" max="14605" width="23.140625" style="39" customWidth="1"/>
    <col min="14606" max="14606" width="15" style="39" bestFit="1" customWidth="1"/>
    <col min="14607" max="14848" width="9.140625" style="39"/>
    <col min="14849" max="14849" width="7.140625" style="39" customWidth="1"/>
    <col min="14850" max="14850" width="34.5703125" style="39" customWidth="1"/>
    <col min="14851" max="14851" width="39.140625" style="39" customWidth="1"/>
    <col min="14852" max="14853" width="20.140625" style="39" bestFit="1" customWidth="1"/>
    <col min="14854" max="14854" width="18.28515625" style="39" bestFit="1" customWidth="1"/>
    <col min="14855" max="14855" width="9.7109375" style="39" customWidth="1"/>
    <col min="14856" max="14856" width="29.5703125" style="39" customWidth="1"/>
    <col min="14857" max="14857" width="23.28515625" style="39" customWidth="1"/>
    <col min="14858" max="14858" width="7.5703125" style="39" customWidth="1"/>
    <col min="14859" max="14859" width="9.140625" style="39" customWidth="1"/>
    <col min="14860" max="14860" width="8.85546875" style="39" customWidth="1"/>
    <col min="14861" max="14861" width="23.140625" style="39" customWidth="1"/>
    <col min="14862" max="14862" width="15" style="39" bestFit="1" customWidth="1"/>
    <col min="14863" max="15104" width="9.140625" style="39"/>
    <col min="15105" max="15105" width="7.140625" style="39" customWidth="1"/>
    <col min="15106" max="15106" width="34.5703125" style="39" customWidth="1"/>
    <col min="15107" max="15107" width="39.140625" style="39" customWidth="1"/>
    <col min="15108" max="15109" width="20.140625" style="39" bestFit="1" customWidth="1"/>
    <col min="15110" max="15110" width="18.28515625" style="39" bestFit="1" customWidth="1"/>
    <col min="15111" max="15111" width="9.7109375" style="39" customWidth="1"/>
    <col min="15112" max="15112" width="29.5703125" style="39" customWidth="1"/>
    <col min="15113" max="15113" width="23.28515625" style="39" customWidth="1"/>
    <col min="15114" max="15114" width="7.5703125" style="39" customWidth="1"/>
    <col min="15115" max="15115" width="9.140625" style="39" customWidth="1"/>
    <col min="15116" max="15116" width="8.85546875" style="39" customWidth="1"/>
    <col min="15117" max="15117" width="23.140625" style="39" customWidth="1"/>
    <col min="15118" max="15118" width="15" style="39" bestFit="1" customWidth="1"/>
    <col min="15119" max="15360" width="9.140625" style="39"/>
    <col min="15361" max="15361" width="7.140625" style="39" customWidth="1"/>
    <col min="15362" max="15362" width="34.5703125" style="39" customWidth="1"/>
    <col min="15363" max="15363" width="39.140625" style="39" customWidth="1"/>
    <col min="15364" max="15365" width="20.140625" style="39" bestFit="1" customWidth="1"/>
    <col min="15366" max="15366" width="18.28515625" style="39" bestFit="1" customWidth="1"/>
    <col min="15367" max="15367" width="9.7109375" style="39" customWidth="1"/>
    <col min="15368" max="15368" width="29.5703125" style="39" customWidth="1"/>
    <col min="15369" max="15369" width="23.28515625" style="39" customWidth="1"/>
    <col min="15370" max="15370" width="7.5703125" style="39" customWidth="1"/>
    <col min="15371" max="15371" width="9.140625" style="39" customWidth="1"/>
    <col min="15372" max="15372" width="8.85546875" style="39" customWidth="1"/>
    <col min="15373" max="15373" width="23.140625" style="39" customWidth="1"/>
    <col min="15374" max="15374" width="15" style="39" bestFit="1" customWidth="1"/>
    <col min="15375" max="15616" width="9.140625" style="39"/>
    <col min="15617" max="15617" width="7.140625" style="39" customWidth="1"/>
    <col min="15618" max="15618" width="34.5703125" style="39" customWidth="1"/>
    <col min="15619" max="15619" width="39.140625" style="39" customWidth="1"/>
    <col min="15620" max="15621" width="20.140625" style="39" bestFit="1" customWidth="1"/>
    <col min="15622" max="15622" width="18.28515625" style="39" bestFit="1" customWidth="1"/>
    <col min="15623" max="15623" width="9.7109375" style="39" customWidth="1"/>
    <col min="15624" max="15624" width="29.5703125" style="39" customWidth="1"/>
    <col min="15625" max="15625" width="23.28515625" style="39" customWidth="1"/>
    <col min="15626" max="15626" width="7.5703125" style="39" customWidth="1"/>
    <col min="15627" max="15627" width="9.140625" style="39" customWidth="1"/>
    <col min="15628" max="15628" width="8.85546875" style="39" customWidth="1"/>
    <col min="15629" max="15629" width="23.140625" style="39" customWidth="1"/>
    <col min="15630" max="15630" width="15" style="39" bestFit="1" customWidth="1"/>
    <col min="15631" max="15872" width="9.140625" style="39"/>
    <col min="15873" max="15873" width="7.140625" style="39" customWidth="1"/>
    <col min="15874" max="15874" width="34.5703125" style="39" customWidth="1"/>
    <col min="15875" max="15875" width="39.140625" style="39" customWidth="1"/>
    <col min="15876" max="15877" width="20.140625" style="39" bestFit="1" customWidth="1"/>
    <col min="15878" max="15878" width="18.28515625" style="39" bestFit="1" customWidth="1"/>
    <col min="15879" max="15879" width="9.7109375" style="39" customWidth="1"/>
    <col min="15880" max="15880" width="29.5703125" style="39" customWidth="1"/>
    <col min="15881" max="15881" width="23.28515625" style="39" customWidth="1"/>
    <col min="15882" max="15882" width="7.5703125" style="39" customWidth="1"/>
    <col min="15883" max="15883" width="9.140625" style="39" customWidth="1"/>
    <col min="15884" max="15884" width="8.85546875" style="39" customWidth="1"/>
    <col min="15885" max="15885" width="23.140625" style="39" customWidth="1"/>
    <col min="15886" max="15886" width="15" style="39" bestFit="1" customWidth="1"/>
    <col min="15887" max="16128" width="9.140625" style="39"/>
    <col min="16129" max="16129" width="7.140625" style="39" customWidth="1"/>
    <col min="16130" max="16130" width="34.5703125" style="39" customWidth="1"/>
    <col min="16131" max="16131" width="39.140625" style="39" customWidth="1"/>
    <col min="16132" max="16133" width="20.140625" style="39" bestFit="1" customWidth="1"/>
    <col min="16134" max="16134" width="18.28515625" style="39" bestFit="1" customWidth="1"/>
    <col min="16135" max="16135" width="9.7109375" style="39" customWidth="1"/>
    <col min="16136" max="16136" width="29.5703125" style="39" customWidth="1"/>
    <col min="16137" max="16137" width="23.28515625" style="39" customWidth="1"/>
    <col min="16138" max="16138" width="7.5703125" style="39" customWidth="1"/>
    <col min="16139" max="16139" width="9.140625" style="39" customWidth="1"/>
    <col min="16140" max="16140" width="8.85546875" style="39" customWidth="1"/>
    <col min="16141" max="16141" width="23.140625" style="39" customWidth="1"/>
    <col min="16142" max="16142" width="15" style="39" bestFit="1" customWidth="1"/>
    <col min="16143" max="16384" width="9.140625" style="39"/>
  </cols>
  <sheetData>
    <row r="1" spans="1:13">
      <c r="D1" s="1083" t="s">
        <v>515</v>
      </c>
      <c r="E1" s="1083"/>
      <c r="F1" s="1083"/>
      <c r="G1" s="1083"/>
      <c r="H1" s="1083"/>
      <c r="I1" s="608"/>
    </row>
    <row r="2" spans="1:13">
      <c r="A2" s="1068" t="s">
        <v>516</v>
      </c>
      <c r="B2" s="1068"/>
      <c r="C2" s="1068"/>
      <c r="D2" s="1068"/>
      <c r="E2" s="1068"/>
      <c r="F2" s="1068"/>
      <c r="G2" s="1068"/>
      <c r="H2" s="1068"/>
    </row>
    <row r="3" spans="1:13">
      <c r="A3" s="1084" t="s">
        <v>1090</v>
      </c>
      <c r="B3" s="1084"/>
      <c r="C3" s="1084"/>
      <c r="D3" s="1084"/>
      <c r="E3" s="1084"/>
      <c r="F3" s="1084"/>
      <c r="G3" s="1084"/>
      <c r="H3" s="1084"/>
      <c r="I3" s="611"/>
    </row>
    <row r="4" spans="1:13">
      <c r="A4" s="612"/>
      <c r="B4" s="613"/>
      <c r="C4" s="612"/>
      <c r="D4" s="614"/>
      <c r="E4" s="614"/>
      <c r="F4" s="1085" t="s">
        <v>518</v>
      </c>
      <c r="G4" s="1085"/>
      <c r="H4" s="1085"/>
      <c r="I4" s="611"/>
    </row>
    <row r="5" spans="1:13" ht="47.25">
      <c r="A5" s="14" t="s">
        <v>0</v>
      </c>
      <c r="B5" s="14" t="s">
        <v>519</v>
      </c>
      <c r="C5" s="14" t="s">
        <v>122</v>
      </c>
      <c r="D5" s="14" t="s">
        <v>520</v>
      </c>
      <c r="E5" s="14" t="s">
        <v>521</v>
      </c>
      <c r="F5" s="14" t="s">
        <v>522</v>
      </c>
      <c r="G5" s="14" t="s">
        <v>523</v>
      </c>
      <c r="H5" s="14" t="s">
        <v>524</v>
      </c>
      <c r="I5" s="86"/>
      <c r="M5" s="615"/>
    </row>
    <row r="6" spans="1:13" ht="33" customHeight="1">
      <c r="A6" s="616" t="s">
        <v>525</v>
      </c>
      <c r="B6" s="617" t="s">
        <v>526</v>
      </c>
      <c r="C6" s="617"/>
      <c r="D6" s="618">
        <f>D7+D150</f>
        <v>2575747321937.1606</v>
      </c>
      <c r="E6" s="618">
        <f>E7+E150</f>
        <v>2436562807594.9609</v>
      </c>
      <c r="F6" s="618">
        <f>F7+F150</f>
        <v>139184514342.20001</v>
      </c>
      <c r="G6" s="510">
        <f>+E6/D6</f>
        <v>0.94596344402387955</v>
      </c>
      <c r="H6" s="617"/>
      <c r="I6" s="619"/>
      <c r="J6" s="620"/>
      <c r="K6" s="620"/>
      <c r="M6" s="615"/>
    </row>
    <row r="7" spans="1:13" s="627" customFormat="1">
      <c r="A7" s="1086" t="s">
        <v>527</v>
      </c>
      <c r="B7" s="1086"/>
      <c r="C7" s="1086"/>
      <c r="D7" s="621">
        <f>D8+D19</f>
        <v>432989223017.20001</v>
      </c>
      <c r="E7" s="621">
        <f>E8+E19</f>
        <v>317365464846</v>
      </c>
      <c r="F7" s="621">
        <f>F8+F19</f>
        <v>115623758171.2</v>
      </c>
      <c r="G7" s="622">
        <f>+E7/D7</f>
        <v>0.73296388911137633</v>
      </c>
      <c r="H7" s="623"/>
      <c r="I7" s="624"/>
      <c r="J7" s="625"/>
      <c r="K7" s="625"/>
      <c r="L7" s="625"/>
      <c r="M7" s="626"/>
    </row>
    <row r="8" spans="1:13" ht="31.5">
      <c r="A8" s="142" t="s">
        <v>4</v>
      </c>
      <c r="B8" s="628" t="s">
        <v>528</v>
      </c>
      <c r="C8" s="629"/>
      <c r="D8" s="137">
        <f>D9+D16</f>
        <v>43973201475.199997</v>
      </c>
      <c r="E8" s="137">
        <f>E9+E16</f>
        <v>37221149904</v>
      </c>
      <c r="F8" s="137">
        <f>F9+F16</f>
        <v>6752051571.2000008</v>
      </c>
      <c r="G8" s="630">
        <f>+E8/D8</f>
        <v>0.84645076217595805</v>
      </c>
      <c r="H8" s="631"/>
      <c r="I8" s="632"/>
      <c r="J8" s="620"/>
      <c r="K8" s="620"/>
      <c r="L8" s="620"/>
      <c r="M8" s="615"/>
    </row>
    <row r="9" spans="1:13">
      <c r="A9" s="142" t="s">
        <v>6</v>
      </c>
      <c r="B9" s="628" t="s">
        <v>529</v>
      </c>
      <c r="C9" s="215"/>
      <c r="D9" s="137">
        <f>SUM(D10:D15)</f>
        <v>34046549545.200001</v>
      </c>
      <c r="E9" s="137">
        <f>SUM(E10:E15)</f>
        <v>27294497974</v>
      </c>
      <c r="F9" s="137">
        <f>D9-E9</f>
        <v>6752051571.2000008</v>
      </c>
      <c r="G9" s="630">
        <f>+E9/D9</f>
        <v>0.80168176624664955</v>
      </c>
      <c r="H9" s="139"/>
      <c r="I9" s="619"/>
      <c r="J9" s="620"/>
      <c r="K9" s="620"/>
      <c r="L9" s="620"/>
    </row>
    <row r="10" spans="1:13" ht="157.5">
      <c r="A10" s="139">
        <v>1</v>
      </c>
      <c r="B10" s="215" t="s">
        <v>530</v>
      </c>
      <c r="C10" s="215"/>
      <c r="D10" s="136">
        <f>'[4]Tăng thu NSNN 02'!O54</f>
        <v>1885931839</v>
      </c>
      <c r="E10" s="136">
        <f>'[4]Tăng thu NSNN 02'!F54</f>
        <v>1773074472</v>
      </c>
      <c r="F10" s="136">
        <f>D10-E10</f>
        <v>112857367</v>
      </c>
      <c r="G10" s="633">
        <f>+E10/D10</f>
        <v>0.94015830017491953</v>
      </c>
      <c r="H10" s="139" t="s">
        <v>531</v>
      </c>
      <c r="I10" s="619"/>
      <c r="J10" s="620"/>
      <c r="K10" s="620"/>
      <c r="L10" s="620"/>
    </row>
    <row r="11" spans="1:13" ht="78.75">
      <c r="A11" s="139">
        <v>2</v>
      </c>
      <c r="B11" s="215" t="s">
        <v>532</v>
      </c>
      <c r="C11" s="215"/>
      <c r="D11" s="136">
        <f>'[4]Tăng thu NSNN 02'!P54</f>
        <v>29351015813.200001</v>
      </c>
      <c r="E11" s="136">
        <f>'[4]Tăng thu NSNN 02'!G54</f>
        <v>23750252609</v>
      </c>
      <c r="F11" s="136">
        <f t="shared" ref="F11:F18" si="0">D11-E11</f>
        <v>5600763204.2000008</v>
      </c>
      <c r="G11" s="633">
        <f t="shared" ref="G11:G74" si="1">+E11/D11</f>
        <v>0.80917991936479505</v>
      </c>
      <c r="H11" s="139" t="s">
        <v>533</v>
      </c>
      <c r="I11" s="619"/>
      <c r="J11" s="620"/>
      <c r="K11" s="620"/>
      <c r="L11" s="620"/>
    </row>
    <row r="12" spans="1:13">
      <c r="A12" s="139">
        <v>3</v>
      </c>
      <c r="B12" s="215" t="s">
        <v>534</v>
      </c>
      <c r="C12" s="215"/>
      <c r="D12" s="136">
        <f>'[4]Tăng thu NSNN 02'!T54</f>
        <v>114181509</v>
      </c>
      <c r="E12" s="136">
        <f>'[4]Tăng thu NSNN 02'!H54</f>
        <v>114181509</v>
      </c>
      <c r="F12" s="136">
        <f t="shared" si="0"/>
        <v>0</v>
      </c>
      <c r="G12" s="633">
        <f t="shared" si="1"/>
        <v>1</v>
      </c>
      <c r="H12" s="139"/>
      <c r="I12" s="619"/>
      <c r="J12" s="620"/>
      <c r="K12" s="620"/>
      <c r="L12" s="620"/>
    </row>
    <row r="13" spans="1:13">
      <c r="A13" s="139">
        <v>4</v>
      </c>
      <c r="B13" s="215" t="s">
        <v>535</v>
      </c>
      <c r="C13" s="215"/>
      <c r="D13" s="136">
        <f>'[4]Tăng thu NSNN 02'!U54</f>
        <v>128515766</v>
      </c>
      <c r="E13" s="136">
        <f>'[4]Tăng thu NSNN 02'!I54</f>
        <v>128515766</v>
      </c>
      <c r="F13" s="136">
        <f t="shared" si="0"/>
        <v>0</v>
      </c>
      <c r="G13" s="633">
        <f t="shared" si="1"/>
        <v>1</v>
      </c>
      <c r="H13" s="139"/>
      <c r="I13" s="619"/>
      <c r="J13" s="620"/>
      <c r="K13" s="620"/>
      <c r="L13" s="620"/>
    </row>
    <row r="14" spans="1:13">
      <c r="A14" s="139">
        <v>5</v>
      </c>
      <c r="B14" s="215" t="s">
        <v>119</v>
      </c>
      <c r="C14" s="215"/>
      <c r="D14" s="136">
        <f>'[4]Tăng thu NSNN 02'!Y54</f>
        <v>2518721800</v>
      </c>
      <c r="E14" s="136">
        <f>'[4]Tăng thu NSNN 02'!L54</f>
        <v>1480290800</v>
      </c>
      <c r="F14" s="136">
        <f>D14-E14</f>
        <v>1038431000</v>
      </c>
      <c r="G14" s="633">
        <f t="shared" si="1"/>
        <v>0.58771508627908009</v>
      </c>
      <c r="H14" s="139"/>
      <c r="I14" s="619"/>
      <c r="J14" s="620"/>
      <c r="K14" s="620"/>
      <c r="L14" s="620"/>
    </row>
    <row r="15" spans="1:13">
      <c r="A15" s="139">
        <v>6</v>
      </c>
      <c r="B15" s="215" t="s">
        <v>536</v>
      </c>
      <c r="C15" s="215"/>
      <c r="D15" s="136">
        <f>'[4]Tăng thu NSNN 02'!AB54</f>
        <v>48182818</v>
      </c>
      <c r="E15" s="136">
        <f>'[4]Tăng thu NSNN 02'!M54</f>
        <v>48182818</v>
      </c>
      <c r="F15" s="136">
        <f t="shared" si="0"/>
        <v>0</v>
      </c>
      <c r="G15" s="633">
        <f t="shared" si="1"/>
        <v>1</v>
      </c>
      <c r="H15" s="139"/>
      <c r="I15" s="619"/>
      <c r="J15" s="620"/>
      <c r="K15" s="620"/>
      <c r="L15" s="620"/>
    </row>
    <row r="16" spans="1:13" ht="31.5">
      <c r="A16" s="142" t="s">
        <v>46</v>
      </c>
      <c r="B16" s="628" t="s">
        <v>537</v>
      </c>
      <c r="C16" s="215"/>
      <c r="D16" s="137">
        <f>D17+D18</f>
        <v>9926651930</v>
      </c>
      <c r="E16" s="137">
        <f>E17+E18</f>
        <v>9926651930</v>
      </c>
      <c r="F16" s="137">
        <f>F17+F18</f>
        <v>0</v>
      </c>
      <c r="G16" s="630">
        <f t="shared" si="1"/>
        <v>1</v>
      </c>
      <c r="H16" s="139"/>
      <c r="I16" s="619"/>
      <c r="J16" s="620"/>
      <c r="K16" s="620"/>
      <c r="L16" s="620"/>
    </row>
    <row r="17" spans="1:13" hidden="1">
      <c r="A17" s="139">
        <v>1</v>
      </c>
      <c r="B17" s="215" t="s">
        <v>538</v>
      </c>
      <c r="C17" s="215"/>
      <c r="D17" s="136">
        <f>'[4]Tăng thu NSNN 02'!W54</f>
        <v>9912849323</v>
      </c>
      <c r="E17" s="136">
        <f>'[4]Tăng thu NSNN 02'!J54</f>
        <v>9912849323</v>
      </c>
      <c r="F17" s="136">
        <f t="shared" si="0"/>
        <v>0</v>
      </c>
      <c r="G17" s="633">
        <f t="shared" si="1"/>
        <v>1</v>
      </c>
      <c r="H17" s="139"/>
      <c r="I17" s="619"/>
      <c r="J17" s="620"/>
      <c r="K17" s="620"/>
      <c r="L17" s="620"/>
    </row>
    <row r="18" spans="1:13" hidden="1">
      <c r="A18" s="139">
        <v>2</v>
      </c>
      <c r="B18" s="215" t="s">
        <v>539</v>
      </c>
      <c r="C18" s="215"/>
      <c r="D18" s="136">
        <f>'[4]Tăng thu NSNN 02'!X54</f>
        <v>13802607</v>
      </c>
      <c r="E18" s="136">
        <f>'[4]Tăng thu NSNN 02'!K54</f>
        <v>13802607</v>
      </c>
      <c r="F18" s="136">
        <f t="shared" si="0"/>
        <v>0</v>
      </c>
      <c r="G18" s="633">
        <f t="shared" si="1"/>
        <v>1</v>
      </c>
      <c r="H18" s="139"/>
      <c r="I18" s="619"/>
      <c r="J18" s="620"/>
      <c r="K18" s="620"/>
      <c r="L18" s="620"/>
    </row>
    <row r="19" spans="1:13" ht="31.5">
      <c r="A19" s="142" t="s">
        <v>90</v>
      </c>
      <c r="B19" s="628" t="s">
        <v>540</v>
      </c>
      <c r="C19" s="215"/>
      <c r="D19" s="137">
        <f>D20+D34+D38+D43+D73+D126+D138+D145</f>
        <v>389016021542</v>
      </c>
      <c r="E19" s="137">
        <f>E20+E34+E38+E43+E73+E126+E138+E145</f>
        <v>280144314942</v>
      </c>
      <c r="F19" s="137">
        <f>F20+F34+F38+F43+F73+F126+F138+F145</f>
        <v>108871706600</v>
      </c>
      <c r="G19" s="630">
        <f t="shared" si="1"/>
        <v>0.7201356741852194</v>
      </c>
      <c r="H19" s="634"/>
      <c r="I19" s="635"/>
      <c r="J19" s="620"/>
      <c r="K19" s="620"/>
      <c r="L19" s="620"/>
    </row>
    <row r="20" spans="1:13" ht="31.5">
      <c r="A20" s="142" t="s">
        <v>6</v>
      </c>
      <c r="B20" s="628" t="s">
        <v>541</v>
      </c>
      <c r="C20" s="215"/>
      <c r="D20" s="137">
        <f>D21+D24</f>
        <v>888808000</v>
      </c>
      <c r="E20" s="137">
        <f>E21+E24</f>
        <v>888808000</v>
      </c>
      <c r="F20" s="137">
        <f>F21+F24</f>
        <v>0</v>
      </c>
      <c r="G20" s="630">
        <f t="shared" si="1"/>
        <v>1</v>
      </c>
      <c r="H20" s="634"/>
      <c r="I20" s="619"/>
      <c r="J20" s="620"/>
      <c r="K20" s="620"/>
      <c r="L20" s="620"/>
    </row>
    <row r="21" spans="1:13" hidden="1">
      <c r="A21" s="142">
        <v>1</v>
      </c>
      <c r="B21" s="628" t="s">
        <v>13</v>
      </c>
      <c r="C21" s="215"/>
      <c r="D21" s="137">
        <f t="shared" ref="D21:F22" si="2">D22</f>
        <v>87200000</v>
      </c>
      <c r="E21" s="137">
        <f t="shared" si="2"/>
        <v>87200000</v>
      </c>
      <c r="F21" s="137">
        <f t="shared" si="2"/>
        <v>0</v>
      </c>
      <c r="G21" s="630">
        <f t="shared" si="1"/>
        <v>1</v>
      </c>
      <c r="H21" s="634"/>
      <c r="I21" s="619"/>
      <c r="J21" s="620"/>
      <c r="K21" s="620"/>
      <c r="L21" s="620"/>
    </row>
    <row r="22" spans="1:13" s="62" customFormat="1" hidden="1">
      <c r="A22" s="636" t="s">
        <v>15</v>
      </c>
      <c r="B22" s="637" t="s">
        <v>542</v>
      </c>
      <c r="C22" s="638"/>
      <c r="D22" s="639">
        <f t="shared" si="2"/>
        <v>87200000</v>
      </c>
      <c r="E22" s="639">
        <f t="shared" si="2"/>
        <v>87200000</v>
      </c>
      <c r="F22" s="639">
        <f t="shared" si="2"/>
        <v>0</v>
      </c>
      <c r="G22" s="640">
        <f t="shared" si="1"/>
        <v>1</v>
      </c>
      <c r="H22" s="641"/>
      <c r="I22" s="619"/>
      <c r="J22" s="620"/>
      <c r="K22" s="620"/>
      <c r="L22" s="620"/>
      <c r="M22" s="642"/>
    </row>
    <row r="23" spans="1:13" ht="90.6" hidden="1" customHeight="1">
      <c r="A23" s="643" t="s">
        <v>128</v>
      </c>
      <c r="B23" s="644" t="s">
        <v>543</v>
      </c>
      <c r="C23" s="644" t="s">
        <v>544</v>
      </c>
      <c r="D23" s="645">
        <v>87200000</v>
      </c>
      <c r="E23" s="645">
        <f>D23</f>
        <v>87200000</v>
      </c>
      <c r="F23" s="645">
        <f>D23-E23</f>
        <v>0</v>
      </c>
      <c r="G23" s="646">
        <f t="shared" si="1"/>
        <v>1</v>
      </c>
      <c r="H23" s="643"/>
      <c r="I23" s="619"/>
      <c r="J23" s="620"/>
      <c r="K23" s="620"/>
      <c r="L23" s="620"/>
    </row>
    <row r="24" spans="1:13" s="47" customFormat="1" hidden="1">
      <c r="A24" s="142">
        <v>2</v>
      </c>
      <c r="B24" s="628" t="s">
        <v>8</v>
      </c>
      <c r="C24" s="628"/>
      <c r="D24" s="137">
        <f>D26</f>
        <v>801608000</v>
      </c>
      <c r="E24" s="137">
        <f>E26</f>
        <v>801608000</v>
      </c>
      <c r="F24" s="137">
        <f>D24-E24</f>
        <v>0</v>
      </c>
      <c r="G24" s="630">
        <f t="shared" si="1"/>
        <v>1</v>
      </c>
      <c r="H24" s="142"/>
      <c r="I24" s="619"/>
      <c r="J24" s="620"/>
      <c r="K24" s="620"/>
      <c r="L24" s="620"/>
      <c r="M24" s="647"/>
    </row>
    <row r="25" spans="1:13" s="47" customFormat="1" hidden="1">
      <c r="A25" s="142" t="s">
        <v>24</v>
      </c>
      <c r="B25" s="648" t="s">
        <v>542</v>
      </c>
      <c r="C25" s="628"/>
      <c r="D25" s="137"/>
      <c r="E25" s="137"/>
      <c r="F25" s="137"/>
      <c r="G25" s="649"/>
      <c r="H25" s="142"/>
      <c r="I25" s="619"/>
      <c r="J25" s="620"/>
      <c r="K25" s="620"/>
      <c r="L25" s="620"/>
      <c r="M25" s="647"/>
    </row>
    <row r="26" spans="1:13" s="62" customFormat="1" hidden="1">
      <c r="A26" s="631" t="s">
        <v>130</v>
      </c>
      <c r="B26" s="648" t="s">
        <v>545</v>
      </c>
      <c r="C26" s="215"/>
      <c r="D26" s="137">
        <f>D27+D28+D29+D32+D33</f>
        <v>801608000</v>
      </c>
      <c r="E26" s="137">
        <f>E27+E28+E29+E32+E33</f>
        <v>801608000</v>
      </c>
      <c r="F26" s="136">
        <f>D26-E26</f>
        <v>0</v>
      </c>
      <c r="G26" s="633">
        <f t="shared" si="1"/>
        <v>1</v>
      </c>
      <c r="H26" s="629"/>
      <c r="I26" s="619"/>
      <c r="J26" s="620"/>
      <c r="K26" s="620"/>
      <c r="L26" s="620"/>
      <c r="M26" s="642"/>
    </row>
    <row r="27" spans="1:13" ht="47.25" hidden="1">
      <c r="A27" s="139" t="s">
        <v>128</v>
      </c>
      <c r="B27" s="628" t="s">
        <v>546</v>
      </c>
      <c r="C27" s="215" t="s">
        <v>547</v>
      </c>
      <c r="D27" s="137">
        <v>33769000</v>
      </c>
      <c r="E27" s="137">
        <f>D27</f>
        <v>33769000</v>
      </c>
      <c r="F27" s="137">
        <f>D27-E27</f>
        <v>0</v>
      </c>
      <c r="G27" s="630">
        <f t="shared" si="1"/>
        <v>1</v>
      </c>
      <c r="H27" s="139"/>
      <c r="I27" s="619"/>
      <c r="J27" s="620"/>
      <c r="K27" s="620"/>
      <c r="L27" s="620"/>
    </row>
    <row r="28" spans="1:13" ht="37.9" hidden="1" customHeight="1">
      <c r="A28" s="139" t="s">
        <v>128</v>
      </c>
      <c r="B28" s="628" t="s">
        <v>39</v>
      </c>
      <c r="C28" s="215" t="s">
        <v>548</v>
      </c>
      <c r="D28" s="137">
        <v>85157000</v>
      </c>
      <c r="E28" s="137">
        <v>85157000</v>
      </c>
      <c r="F28" s="136">
        <f>D28-E28</f>
        <v>0</v>
      </c>
      <c r="G28" s="630">
        <f t="shared" si="1"/>
        <v>1</v>
      </c>
      <c r="H28" s="139"/>
      <c r="I28" s="619"/>
      <c r="J28" s="620"/>
      <c r="K28" s="620"/>
      <c r="L28" s="620"/>
    </row>
    <row r="29" spans="1:13" hidden="1">
      <c r="A29" s="139" t="s">
        <v>128</v>
      </c>
      <c r="B29" s="628" t="s">
        <v>99</v>
      </c>
      <c r="C29" s="215"/>
      <c r="D29" s="137">
        <f>D30+D31</f>
        <v>293259000</v>
      </c>
      <c r="E29" s="137">
        <f>E30+E31</f>
        <v>293259000</v>
      </c>
      <c r="F29" s="137">
        <f>F30+F31</f>
        <v>0</v>
      </c>
      <c r="G29" s="630">
        <f t="shared" si="1"/>
        <v>1</v>
      </c>
      <c r="H29" s="139"/>
      <c r="I29" s="619"/>
      <c r="J29" s="620"/>
      <c r="K29" s="620"/>
      <c r="L29" s="620"/>
    </row>
    <row r="30" spans="1:13" s="62" customFormat="1" ht="94.15" hidden="1" customHeight="1">
      <c r="A30" s="629"/>
      <c r="B30" s="648"/>
      <c r="C30" s="213" t="s">
        <v>549</v>
      </c>
      <c r="D30" s="174">
        <v>211034000</v>
      </c>
      <c r="E30" s="174">
        <f>74282000+20912000+115840000</f>
        <v>211034000</v>
      </c>
      <c r="F30" s="174">
        <f>D30-E30</f>
        <v>0</v>
      </c>
      <c r="G30" s="633">
        <f t="shared" si="1"/>
        <v>1</v>
      </c>
      <c r="H30" s="629"/>
      <c r="I30" s="619"/>
      <c r="J30" s="620"/>
      <c r="K30" s="620"/>
      <c r="L30" s="620"/>
      <c r="M30" s="642"/>
    </row>
    <row r="31" spans="1:13" s="62" customFormat="1" ht="50.45" hidden="1" customHeight="1">
      <c r="A31" s="629"/>
      <c r="B31" s="648"/>
      <c r="C31" s="213" t="s">
        <v>550</v>
      </c>
      <c r="D31" s="174">
        <v>82225000</v>
      </c>
      <c r="E31" s="174">
        <f>5054000+77171000</f>
        <v>82225000</v>
      </c>
      <c r="F31" s="174">
        <f>D31-E31</f>
        <v>0</v>
      </c>
      <c r="G31" s="633">
        <f t="shared" si="1"/>
        <v>1</v>
      </c>
      <c r="H31" s="629"/>
      <c r="I31" s="619"/>
      <c r="J31" s="620"/>
      <c r="K31" s="620"/>
      <c r="L31" s="620"/>
      <c r="M31" s="642"/>
    </row>
    <row r="32" spans="1:13" ht="31.5" hidden="1">
      <c r="A32" s="139" t="s">
        <v>128</v>
      </c>
      <c r="B32" s="628" t="s">
        <v>327</v>
      </c>
      <c r="C32" s="215" t="s">
        <v>551</v>
      </c>
      <c r="D32" s="137">
        <v>368552000</v>
      </c>
      <c r="E32" s="137">
        <f>368551950+50</f>
        <v>368552000</v>
      </c>
      <c r="F32" s="136">
        <f>D32-E32</f>
        <v>0</v>
      </c>
      <c r="G32" s="630">
        <f t="shared" si="1"/>
        <v>1</v>
      </c>
      <c r="H32" s="139"/>
      <c r="I32" s="619"/>
      <c r="J32" s="620"/>
      <c r="K32" s="620"/>
      <c r="L32" s="620"/>
    </row>
    <row r="33" spans="1:13" ht="31.5" hidden="1">
      <c r="A33" s="139" t="s">
        <v>128</v>
      </c>
      <c r="B33" s="628" t="s">
        <v>552</v>
      </c>
      <c r="C33" s="215" t="s">
        <v>553</v>
      </c>
      <c r="D33" s="137">
        <v>20871000</v>
      </c>
      <c r="E33" s="137">
        <v>20871000</v>
      </c>
      <c r="F33" s="136">
        <f>D33-E33</f>
        <v>0</v>
      </c>
      <c r="G33" s="630">
        <f t="shared" si="1"/>
        <v>1</v>
      </c>
      <c r="H33" s="139"/>
      <c r="I33" s="39"/>
      <c r="J33" s="620"/>
      <c r="K33" s="620"/>
      <c r="L33" s="620"/>
    </row>
    <row r="34" spans="1:13" ht="47.25">
      <c r="A34" s="142" t="s">
        <v>46</v>
      </c>
      <c r="B34" s="628" t="s">
        <v>554</v>
      </c>
      <c r="C34" s="215"/>
      <c r="D34" s="137">
        <f t="shared" ref="D34:F36" si="3">D35</f>
        <v>527391085</v>
      </c>
      <c r="E34" s="137">
        <f t="shared" si="3"/>
        <v>527391085</v>
      </c>
      <c r="F34" s="137">
        <f t="shared" si="3"/>
        <v>0</v>
      </c>
      <c r="G34" s="630">
        <f t="shared" si="1"/>
        <v>1</v>
      </c>
      <c r="H34" s="139"/>
      <c r="I34" s="619"/>
      <c r="J34" s="620"/>
      <c r="K34" s="620"/>
      <c r="L34" s="620"/>
    </row>
    <row r="35" spans="1:13" hidden="1">
      <c r="A35" s="142">
        <v>1</v>
      </c>
      <c r="B35" s="628" t="s">
        <v>13</v>
      </c>
      <c r="C35" s="215"/>
      <c r="D35" s="137">
        <f t="shared" si="3"/>
        <v>527391085</v>
      </c>
      <c r="E35" s="137">
        <f t="shared" si="3"/>
        <v>527391085</v>
      </c>
      <c r="F35" s="137">
        <f t="shared" si="3"/>
        <v>0</v>
      </c>
      <c r="G35" s="630">
        <f t="shared" si="1"/>
        <v>1</v>
      </c>
      <c r="H35" s="139"/>
      <c r="I35" s="619"/>
      <c r="J35" s="620"/>
      <c r="K35" s="620"/>
      <c r="L35" s="620"/>
    </row>
    <row r="36" spans="1:13" hidden="1">
      <c r="A36" s="631" t="s">
        <v>15</v>
      </c>
      <c r="B36" s="648" t="s">
        <v>542</v>
      </c>
      <c r="C36" s="215"/>
      <c r="D36" s="137">
        <f t="shared" si="3"/>
        <v>527391085</v>
      </c>
      <c r="E36" s="137">
        <f t="shared" si="3"/>
        <v>527391085</v>
      </c>
      <c r="F36" s="137">
        <f t="shared" si="3"/>
        <v>0</v>
      </c>
      <c r="G36" s="630">
        <f t="shared" si="1"/>
        <v>1</v>
      </c>
      <c r="H36" s="139"/>
      <c r="I36" s="619"/>
      <c r="J36" s="620"/>
      <c r="K36" s="620"/>
      <c r="L36" s="620"/>
    </row>
    <row r="37" spans="1:13" ht="31.5" hidden="1">
      <c r="A37" s="139" t="s">
        <v>128</v>
      </c>
      <c r="B37" s="215" t="s">
        <v>49</v>
      </c>
      <c r="C37" s="215" t="s">
        <v>555</v>
      </c>
      <c r="D37" s="136">
        <v>527391085</v>
      </c>
      <c r="E37" s="136">
        <v>527391085</v>
      </c>
      <c r="F37" s="136">
        <f>D37-E37</f>
        <v>0</v>
      </c>
      <c r="G37" s="633">
        <f t="shared" si="1"/>
        <v>1</v>
      </c>
      <c r="H37" s="139"/>
      <c r="I37" s="619"/>
      <c r="J37" s="620"/>
      <c r="K37" s="620"/>
      <c r="L37" s="620"/>
    </row>
    <row r="38" spans="1:13" ht="31.5">
      <c r="A38" s="142" t="s">
        <v>71</v>
      </c>
      <c r="B38" s="628" t="s">
        <v>556</v>
      </c>
      <c r="C38" s="215"/>
      <c r="D38" s="137">
        <f>D39</f>
        <v>3320000000</v>
      </c>
      <c r="E38" s="137">
        <f>E39</f>
        <v>3320000000</v>
      </c>
      <c r="F38" s="137">
        <f>F39</f>
        <v>0</v>
      </c>
      <c r="G38" s="630">
        <f t="shared" si="1"/>
        <v>1</v>
      </c>
      <c r="H38" s="139"/>
      <c r="I38" s="619"/>
      <c r="J38" s="620"/>
      <c r="K38" s="620"/>
      <c r="L38" s="620"/>
    </row>
    <row r="39" spans="1:13" hidden="1">
      <c r="A39" s="142">
        <v>1</v>
      </c>
      <c r="B39" s="628" t="s">
        <v>13</v>
      </c>
      <c r="C39" s="215"/>
      <c r="D39" s="137">
        <f>D41</f>
        <v>3320000000</v>
      </c>
      <c r="E39" s="137">
        <f>E41</f>
        <v>3320000000</v>
      </c>
      <c r="F39" s="137">
        <f>F41</f>
        <v>0</v>
      </c>
      <c r="G39" s="630">
        <f t="shared" si="1"/>
        <v>1</v>
      </c>
      <c r="H39" s="139"/>
      <c r="I39" s="619"/>
      <c r="J39" s="620"/>
      <c r="K39" s="620"/>
      <c r="L39" s="620"/>
    </row>
    <row r="40" spans="1:13" hidden="1">
      <c r="A40" s="631" t="s">
        <v>15</v>
      </c>
      <c r="B40" s="648" t="s">
        <v>542</v>
      </c>
      <c r="C40" s="215"/>
      <c r="D40" s="137">
        <v>0</v>
      </c>
      <c r="E40" s="137">
        <v>0</v>
      </c>
      <c r="F40" s="137">
        <v>0</v>
      </c>
      <c r="G40" s="630" t="e">
        <f t="shared" si="1"/>
        <v>#DIV/0!</v>
      </c>
      <c r="H40" s="139"/>
      <c r="I40" s="619"/>
      <c r="J40" s="620"/>
      <c r="K40" s="620"/>
      <c r="L40" s="620"/>
    </row>
    <row r="41" spans="1:13" hidden="1">
      <c r="A41" s="636" t="s">
        <v>130</v>
      </c>
      <c r="B41" s="637" t="s">
        <v>545</v>
      </c>
      <c r="C41" s="486"/>
      <c r="D41" s="650">
        <f>D42</f>
        <v>3320000000</v>
      </c>
      <c r="E41" s="650">
        <f>E42</f>
        <v>3320000000</v>
      </c>
      <c r="F41" s="650">
        <f>F42</f>
        <v>0</v>
      </c>
      <c r="G41" s="640">
        <f t="shared" si="1"/>
        <v>1</v>
      </c>
      <c r="H41" s="651"/>
      <c r="I41" s="619"/>
      <c r="J41" s="620"/>
      <c r="K41" s="620"/>
      <c r="L41" s="620"/>
    </row>
    <row r="42" spans="1:13" ht="70.150000000000006" hidden="1" customHeight="1">
      <c r="A42" s="643" t="s">
        <v>128</v>
      </c>
      <c r="B42" s="644" t="s">
        <v>56</v>
      </c>
      <c r="C42" s="644" t="s">
        <v>557</v>
      </c>
      <c r="D42" s="645">
        <v>3320000000</v>
      </c>
      <c r="E42" s="645">
        <v>3320000000</v>
      </c>
      <c r="F42" s="645">
        <f>D42-E42</f>
        <v>0</v>
      </c>
      <c r="G42" s="646">
        <f t="shared" si="1"/>
        <v>1</v>
      </c>
      <c r="H42" s="643"/>
      <c r="I42" s="619"/>
      <c r="J42" s="620"/>
      <c r="K42" s="620"/>
      <c r="L42" s="620"/>
    </row>
    <row r="43" spans="1:13" s="47" customFormat="1" ht="31.5">
      <c r="A43" s="142" t="s">
        <v>270</v>
      </c>
      <c r="B43" s="628" t="s">
        <v>558</v>
      </c>
      <c r="C43" s="215"/>
      <c r="D43" s="137">
        <f>D44+D68</f>
        <v>179774295961</v>
      </c>
      <c r="E43" s="137">
        <f>E44+E68</f>
        <v>179774295961</v>
      </c>
      <c r="F43" s="137">
        <f>F44+F68</f>
        <v>0</v>
      </c>
      <c r="G43" s="630">
        <f t="shared" si="1"/>
        <v>1</v>
      </c>
      <c r="H43" s="142"/>
      <c r="I43" s="619"/>
      <c r="J43" s="620"/>
      <c r="K43" s="620"/>
      <c r="L43" s="620"/>
      <c r="M43" s="647"/>
    </row>
    <row r="44" spans="1:13" s="47" customFormat="1" hidden="1">
      <c r="A44" s="142">
        <v>1</v>
      </c>
      <c r="B44" s="628" t="s">
        <v>13</v>
      </c>
      <c r="C44" s="215"/>
      <c r="D44" s="137">
        <f>D45+D55+D64</f>
        <v>126484288638</v>
      </c>
      <c r="E44" s="137">
        <f>E45+E55+E64</f>
        <v>126484288638</v>
      </c>
      <c r="F44" s="137">
        <f>F45+F55+F64</f>
        <v>0</v>
      </c>
      <c r="G44" s="630">
        <f t="shared" si="1"/>
        <v>1</v>
      </c>
      <c r="H44" s="142"/>
      <c r="I44" s="619"/>
      <c r="J44" s="620"/>
      <c r="K44" s="620"/>
      <c r="L44" s="620"/>
      <c r="M44" s="647"/>
    </row>
    <row r="45" spans="1:13" s="47" customFormat="1" hidden="1">
      <c r="A45" s="142" t="s">
        <v>15</v>
      </c>
      <c r="B45" s="628" t="s">
        <v>345</v>
      </c>
      <c r="C45" s="215"/>
      <c r="D45" s="137">
        <f>D46+D50</f>
        <v>119245588110</v>
      </c>
      <c r="E45" s="137">
        <f>E46+E50</f>
        <v>119245588110</v>
      </c>
      <c r="F45" s="137">
        <f>F46+F50</f>
        <v>0</v>
      </c>
      <c r="G45" s="630">
        <f t="shared" si="1"/>
        <v>1</v>
      </c>
      <c r="H45" s="142"/>
      <c r="I45" s="619"/>
      <c r="J45" s="620"/>
      <c r="K45" s="620"/>
      <c r="L45" s="620"/>
      <c r="M45" s="647"/>
    </row>
    <row r="46" spans="1:13" hidden="1">
      <c r="A46" s="142" t="s">
        <v>559</v>
      </c>
      <c r="B46" s="628" t="s">
        <v>542</v>
      </c>
      <c r="C46" s="215"/>
      <c r="D46" s="137">
        <f>D47</f>
        <v>118417892610</v>
      </c>
      <c r="E46" s="137">
        <f>E47</f>
        <v>118417892610</v>
      </c>
      <c r="F46" s="137">
        <f>F47</f>
        <v>0</v>
      </c>
      <c r="G46" s="630">
        <f t="shared" si="1"/>
        <v>1</v>
      </c>
      <c r="H46" s="139"/>
      <c r="I46" s="619"/>
      <c r="J46" s="620"/>
      <c r="K46" s="620"/>
      <c r="L46" s="620"/>
    </row>
    <row r="47" spans="1:13" hidden="1">
      <c r="A47" s="142" t="s">
        <v>128</v>
      </c>
      <c r="B47" s="215" t="s">
        <v>49</v>
      </c>
      <c r="C47" s="215"/>
      <c r="D47" s="136">
        <f>D48+D49</f>
        <v>118417892610</v>
      </c>
      <c r="E47" s="136">
        <f>E48+E49</f>
        <v>118417892610</v>
      </c>
      <c r="F47" s="136">
        <f>F48+F49</f>
        <v>0</v>
      </c>
      <c r="G47" s="633">
        <f t="shared" si="1"/>
        <v>1</v>
      </c>
      <c r="H47" s="139"/>
      <c r="I47" s="619"/>
      <c r="J47" s="620"/>
      <c r="K47" s="620"/>
      <c r="L47" s="620"/>
    </row>
    <row r="48" spans="1:13" s="62" customFormat="1" ht="47.25" hidden="1">
      <c r="A48" s="629"/>
      <c r="B48" s="213"/>
      <c r="C48" s="213" t="s">
        <v>560</v>
      </c>
      <c r="D48" s="174">
        <v>33051355610</v>
      </c>
      <c r="E48" s="174">
        <v>33051355610</v>
      </c>
      <c r="F48" s="174">
        <f>D48-E48</f>
        <v>0</v>
      </c>
      <c r="G48" s="633">
        <f t="shared" si="1"/>
        <v>1</v>
      </c>
      <c r="H48" s="139"/>
      <c r="I48" s="619"/>
      <c r="J48" s="620"/>
      <c r="K48" s="620"/>
      <c r="L48" s="620"/>
      <c r="M48" s="642"/>
    </row>
    <row r="49" spans="1:13" s="62" customFormat="1" ht="39.6" hidden="1" customHeight="1">
      <c r="A49" s="629"/>
      <c r="B49" s="213"/>
      <c r="C49" s="213" t="s">
        <v>561</v>
      </c>
      <c r="D49" s="174">
        <v>85366537000</v>
      </c>
      <c r="E49" s="174">
        <v>85366537000</v>
      </c>
      <c r="F49" s="174">
        <f>D49-E49</f>
        <v>0</v>
      </c>
      <c r="G49" s="633">
        <f t="shared" si="1"/>
        <v>1</v>
      </c>
      <c r="H49" s="139"/>
      <c r="I49" s="619"/>
      <c r="J49" s="620"/>
      <c r="K49" s="620"/>
      <c r="L49" s="620"/>
      <c r="M49" s="642"/>
    </row>
    <row r="50" spans="1:13" ht="63" hidden="1">
      <c r="A50" s="142" t="s">
        <v>562</v>
      </c>
      <c r="B50" s="628" t="s">
        <v>563</v>
      </c>
      <c r="C50" s="215"/>
      <c r="D50" s="137">
        <f>SUM(D51:D54)</f>
        <v>827695500</v>
      </c>
      <c r="E50" s="137">
        <f>SUM(E51:E54)</f>
        <v>827695500</v>
      </c>
      <c r="F50" s="137">
        <f>SUM(F51:F54)</f>
        <v>0</v>
      </c>
      <c r="G50" s="630">
        <f t="shared" si="1"/>
        <v>1</v>
      </c>
      <c r="H50" s="139"/>
      <c r="I50" s="619"/>
      <c r="J50" s="620"/>
      <c r="K50" s="620"/>
      <c r="L50" s="620"/>
    </row>
    <row r="51" spans="1:13" ht="69.599999999999994" hidden="1" customHeight="1">
      <c r="A51" s="139"/>
      <c r="B51" s="28" t="s">
        <v>332</v>
      </c>
      <c r="C51" s="215" t="s">
        <v>564</v>
      </c>
      <c r="D51" s="343">
        <v>204625000</v>
      </c>
      <c r="E51" s="136">
        <v>204625000</v>
      </c>
      <c r="F51" s="136">
        <f>D51-E51</f>
        <v>0</v>
      </c>
      <c r="G51" s="633">
        <f t="shared" si="1"/>
        <v>1</v>
      </c>
      <c r="H51" s="139"/>
      <c r="I51" s="619"/>
      <c r="J51" s="620"/>
      <c r="K51" s="620"/>
      <c r="L51" s="620"/>
    </row>
    <row r="52" spans="1:13" ht="77.25" hidden="1" customHeight="1">
      <c r="A52" s="139"/>
      <c r="B52" s="28" t="s">
        <v>39</v>
      </c>
      <c r="C52" s="652" t="s">
        <v>565</v>
      </c>
      <c r="D52" s="343">
        <v>262700000</v>
      </c>
      <c r="E52" s="136">
        <v>262700000</v>
      </c>
      <c r="F52" s="136">
        <f>D52-E52</f>
        <v>0</v>
      </c>
      <c r="G52" s="633">
        <f t="shared" si="1"/>
        <v>1</v>
      </c>
      <c r="H52" s="139"/>
      <c r="I52" s="619"/>
      <c r="J52" s="620"/>
      <c r="K52" s="620"/>
      <c r="L52" s="653"/>
    </row>
    <row r="53" spans="1:13" ht="35.450000000000003" hidden="1" customHeight="1">
      <c r="A53" s="139"/>
      <c r="B53" s="28" t="s">
        <v>566</v>
      </c>
      <c r="C53" s="215" t="s">
        <v>567</v>
      </c>
      <c r="D53" s="343">
        <v>59500</v>
      </c>
      <c r="E53" s="136">
        <v>59500</v>
      </c>
      <c r="F53" s="136">
        <f>D53-E53</f>
        <v>0</v>
      </c>
      <c r="G53" s="633">
        <f t="shared" si="1"/>
        <v>1</v>
      </c>
      <c r="H53" s="139"/>
      <c r="I53" s="619"/>
      <c r="J53" s="620"/>
      <c r="K53" s="620"/>
      <c r="L53" s="653"/>
    </row>
    <row r="54" spans="1:13" ht="102.6" hidden="1" customHeight="1">
      <c r="A54" s="139"/>
      <c r="B54" s="28" t="s">
        <v>112</v>
      </c>
      <c r="C54" s="654" t="s">
        <v>568</v>
      </c>
      <c r="D54" s="343">
        <v>360311000</v>
      </c>
      <c r="E54" s="136">
        <v>360311000</v>
      </c>
      <c r="F54" s="136">
        <f>D54-E54</f>
        <v>0</v>
      </c>
      <c r="G54" s="633">
        <f t="shared" si="1"/>
        <v>1</v>
      </c>
      <c r="H54" s="139"/>
      <c r="I54" s="619"/>
      <c r="J54" s="620"/>
      <c r="K54" s="620"/>
      <c r="L54" s="653"/>
    </row>
    <row r="55" spans="1:13" s="47" customFormat="1" hidden="1">
      <c r="A55" s="655" t="s">
        <v>18</v>
      </c>
      <c r="B55" s="656" t="s">
        <v>569</v>
      </c>
      <c r="C55" s="656"/>
      <c r="D55" s="650">
        <f>D56+D58</f>
        <v>4099518400</v>
      </c>
      <c r="E55" s="650">
        <f>E56+E58</f>
        <v>4099518400</v>
      </c>
      <c r="F55" s="650">
        <f>F56+F58</f>
        <v>0</v>
      </c>
      <c r="G55" s="640">
        <f t="shared" si="1"/>
        <v>1</v>
      </c>
      <c r="H55" s="655"/>
      <c r="I55" s="619"/>
      <c r="J55" s="620"/>
      <c r="K55" s="620"/>
      <c r="L55" s="657"/>
      <c r="M55" s="647"/>
    </row>
    <row r="56" spans="1:13" s="47" customFormat="1" hidden="1">
      <c r="A56" s="617" t="s">
        <v>559</v>
      </c>
      <c r="B56" s="658" t="s">
        <v>542</v>
      </c>
      <c r="C56" s="658"/>
      <c r="D56" s="618">
        <f>D57</f>
        <v>82032000</v>
      </c>
      <c r="E56" s="618">
        <f>E57</f>
        <v>82032000</v>
      </c>
      <c r="F56" s="618">
        <f>F57</f>
        <v>0</v>
      </c>
      <c r="G56" s="659">
        <f t="shared" si="1"/>
        <v>1</v>
      </c>
      <c r="H56" s="617"/>
      <c r="I56" s="619"/>
      <c r="J56" s="620"/>
      <c r="K56" s="620"/>
      <c r="L56" s="657"/>
      <c r="M56" s="647"/>
    </row>
    <row r="57" spans="1:13" ht="31.5" hidden="1">
      <c r="A57" s="142" t="s">
        <v>128</v>
      </c>
      <c r="B57" s="215" t="s">
        <v>570</v>
      </c>
      <c r="C57" s="215" t="s">
        <v>571</v>
      </c>
      <c r="D57" s="136">
        <v>82032000</v>
      </c>
      <c r="E57" s="136">
        <v>82032000</v>
      </c>
      <c r="F57" s="136">
        <f>D57-E57</f>
        <v>0</v>
      </c>
      <c r="G57" s="633">
        <f t="shared" si="1"/>
        <v>1</v>
      </c>
      <c r="H57" s="139"/>
      <c r="I57" s="619"/>
      <c r="J57" s="620"/>
      <c r="K57" s="620"/>
      <c r="L57" s="620"/>
    </row>
    <row r="58" spans="1:13" hidden="1">
      <c r="A58" s="142" t="s">
        <v>562</v>
      </c>
      <c r="B58" s="628" t="s">
        <v>545</v>
      </c>
      <c r="C58" s="215"/>
      <c r="D58" s="137">
        <f>SUM(D59:D63)</f>
        <v>4017486400</v>
      </c>
      <c r="E58" s="137">
        <f>SUM(E59:E63)</f>
        <v>4017486400</v>
      </c>
      <c r="F58" s="137">
        <f>SUM(F59:F63)</f>
        <v>0</v>
      </c>
      <c r="G58" s="630">
        <f t="shared" si="1"/>
        <v>1</v>
      </c>
      <c r="H58" s="139"/>
      <c r="I58" s="619"/>
      <c r="J58" s="620"/>
      <c r="K58" s="620"/>
      <c r="L58" s="620"/>
    </row>
    <row r="59" spans="1:13" ht="70.900000000000006" hidden="1" customHeight="1">
      <c r="A59" s="142" t="s">
        <v>128</v>
      </c>
      <c r="B59" s="28" t="s">
        <v>56</v>
      </c>
      <c r="C59" s="215" t="s">
        <v>572</v>
      </c>
      <c r="D59" s="660">
        <v>971000000</v>
      </c>
      <c r="E59" s="136">
        <v>971000000</v>
      </c>
      <c r="F59" s="136">
        <f>D59-E59</f>
        <v>0</v>
      </c>
      <c r="G59" s="633">
        <f t="shared" si="1"/>
        <v>1</v>
      </c>
      <c r="H59" s="139"/>
      <c r="I59" s="619"/>
      <c r="J59" s="620"/>
      <c r="K59" s="620"/>
      <c r="L59" s="653"/>
    </row>
    <row r="60" spans="1:13" ht="101.45" hidden="1" customHeight="1">
      <c r="A60" s="142" t="s">
        <v>128</v>
      </c>
      <c r="B60" s="28" t="s">
        <v>566</v>
      </c>
      <c r="C60" s="215" t="s">
        <v>573</v>
      </c>
      <c r="D60" s="660">
        <v>126000000</v>
      </c>
      <c r="E60" s="136">
        <v>126000000</v>
      </c>
      <c r="F60" s="136">
        <f>D60-E60</f>
        <v>0</v>
      </c>
      <c r="G60" s="633">
        <f t="shared" si="1"/>
        <v>1</v>
      </c>
      <c r="H60" s="139"/>
      <c r="I60" s="619"/>
      <c r="J60" s="620"/>
      <c r="K60" s="620"/>
      <c r="L60" s="653"/>
    </row>
    <row r="61" spans="1:13" ht="160.15" hidden="1" customHeight="1">
      <c r="A61" s="142" t="s">
        <v>128</v>
      </c>
      <c r="B61" s="28" t="s">
        <v>552</v>
      </c>
      <c r="C61" s="654" t="s">
        <v>574</v>
      </c>
      <c r="D61" s="660">
        <v>1248786100</v>
      </c>
      <c r="E61" s="136">
        <f>171000000+675900000+145800000+259000000-2913900</f>
        <v>1248786100</v>
      </c>
      <c r="F61" s="136">
        <f>D61-E61</f>
        <v>0</v>
      </c>
      <c r="G61" s="633">
        <f t="shared" si="1"/>
        <v>1</v>
      </c>
      <c r="H61" s="139"/>
      <c r="I61" s="619"/>
      <c r="J61" s="620"/>
      <c r="K61" s="620"/>
      <c r="L61" s="653"/>
    </row>
    <row r="62" spans="1:13" ht="94.5" hidden="1">
      <c r="A62" s="142" t="s">
        <v>128</v>
      </c>
      <c r="B62" s="28" t="s">
        <v>112</v>
      </c>
      <c r="C62" s="654" t="s">
        <v>575</v>
      </c>
      <c r="D62" s="660">
        <f>7031000+80000+40843000</f>
        <v>47954000</v>
      </c>
      <c r="E62" s="136">
        <f>7031000+40923000</f>
        <v>47954000</v>
      </c>
      <c r="F62" s="136">
        <f>D62-E62</f>
        <v>0</v>
      </c>
      <c r="G62" s="633">
        <f t="shared" si="1"/>
        <v>1</v>
      </c>
      <c r="H62" s="139"/>
      <c r="I62" s="619"/>
      <c r="J62" s="620"/>
      <c r="K62" s="620"/>
      <c r="L62" s="653"/>
    </row>
    <row r="63" spans="1:13" ht="126.6" hidden="1" customHeight="1">
      <c r="A63" s="142" t="s">
        <v>128</v>
      </c>
      <c r="B63" s="28" t="s">
        <v>327</v>
      </c>
      <c r="C63" s="654" t="s">
        <v>576</v>
      </c>
      <c r="D63" s="661">
        <f>1624826300-1080000</f>
        <v>1623746300</v>
      </c>
      <c r="E63" s="136">
        <f>1134909000+488837300</f>
        <v>1623746300</v>
      </c>
      <c r="F63" s="136">
        <f>D63-E63</f>
        <v>0</v>
      </c>
      <c r="G63" s="633">
        <f t="shared" si="1"/>
        <v>1</v>
      </c>
      <c r="H63" s="139"/>
      <c r="I63" s="619"/>
      <c r="J63" s="620"/>
      <c r="K63" s="620"/>
      <c r="L63" s="653"/>
    </row>
    <row r="64" spans="1:13" hidden="1">
      <c r="A64" s="142" t="s">
        <v>441</v>
      </c>
      <c r="B64" s="628" t="s">
        <v>577</v>
      </c>
      <c r="C64" s="215"/>
      <c r="D64" s="137">
        <f>SUM(D65:D67)</f>
        <v>3139182128</v>
      </c>
      <c r="E64" s="137">
        <f>SUM(E65:E67)</f>
        <v>3139182128</v>
      </c>
      <c r="F64" s="137">
        <f>SUM(F65:F67)</f>
        <v>0</v>
      </c>
      <c r="G64" s="630">
        <f t="shared" si="1"/>
        <v>1</v>
      </c>
      <c r="H64" s="139"/>
      <c r="I64" s="619"/>
      <c r="J64" s="620"/>
      <c r="K64" s="620"/>
      <c r="L64" s="620"/>
    </row>
    <row r="65" spans="1:13" ht="143.44999999999999" hidden="1" customHeight="1">
      <c r="A65" s="142" t="s">
        <v>128</v>
      </c>
      <c r="B65" s="28" t="s">
        <v>327</v>
      </c>
      <c r="C65" s="652" t="s">
        <v>578</v>
      </c>
      <c r="D65" s="662">
        <f>3478400500-637944100+1080000</f>
        <v>2841536400</v>
      </c>
      <c r="E65" s="136">
        <v>2841536400</v>
      </c>
      <c r="F65" s="136">
        <f>D65-E65</f>
        <v>0</v>
      </c>
      <c r="G65" s="633">
        <f t="shared" si="1"/>
        <v>1</v>
      </c>
      <c r="H65" s="139"/>
      <c r="I65" s="619"/>
      <c r="J65" s="620"/>
      <c r="K65" s="620"/>
      <c r="L65" s="620"/>
    </row>
    <row r="66" spans="1:13" ht="113.45" hidden="1" customHeight="1">
      <c r="A66" s="142" t="s">
        <v>128</v>
      </c>
      <c r="B66" s="28" t="s">
        <v>552</v>
      </c>
      <c r="C66" s="654" t="s">
        <v>579</v>
      </c>
      <c r="D66" s="663">
        <v>195689728</v>
      </c>
      <c r="E66" s="136">
        <f>D66</f>
        <v>195689728</v>
      </c>
      <c r="F66" s="136">
        <f>D66-E66</f>
        <v>0</v>
      </c>
      <c r="G66" s="633">
        <f t="shared" si="1"/>
        <v>1</v>
      </c>
      <c r="H66" s="139"/>
      <c r="I66" s="619"/>
      <c r="J66" s="620"/>
      <c r="K66" s="620"/>
      <c r="L66" s="620"/>
      <c r="M66" s="664"/>
    </row>
    <row r="67" spans="1:13" ht="53.45" hidden="1" customHeight="1">
      <c r="A67" s="629" t="s">
        <v>128</v>
      </c>
      <c r="B67" s="28" t="s">
        <v>112</v>
      </c>
      <c r="C67" s="654" t="s">
        <v>580</v>
      </c>
      <c r="D67" s="660">
        <v>101956000</v>
      </c>
      <c r="E67" s="136">
        <v>101956000</v>
      </c>
      <c r="F67" s="136">
        <f>D67-E67</f>
        <v>0</v>
      </c>
      <c r="G67" s="633">
        <f t="shared" si="1"/>
        <v>1</v>
      </c>
      <c r="H67" s="139"/>
      <c r="I67" s="619"/>
      <c r="J67" s="620"/>
      <c r="K67" s="620"/>
      <c r="L67" s="620"/>
    </row>
    <row r="68" spans="1:13" s="47" customFormat="1" ht="47.25" hidden="1">
      <c r="A68" s="142">
        <v>2</v>
      </c>
      <c r="B68" s="211" t="s">
        <v>581</v>
      </c>
      <c r="C68" s="665"/>
      <c r="D68" s="666">
        <f>D69+D70</f>
        <v>53290007323</v>
      </c>
      <c r="E68" s="666">
        <f>E69+E70</f>
        <v>53290007323</v>
      </c>
      <c r="F68" s="666">
        <f>F69+F70</f>
        <v>0</v>
      </c>
      <c r="G68" s="630">
        <f t="shared" si="1"/>
        <v>1</v>
      </c>
      <c r="H68" s="142"/>
      <c r="I68" s="619"/>
      <c r="J68" s="620"/>
      <c r="K68" s="620"/>
      <c r="L68" s="657"/>
      <c r="M68" s="647"/>
    </row>
    <row r="69" spans="1:13" s="62" customFormat="1" ht="79.150000000000006" hidden="1" customHeight="1">
      <c r="A69" s="142" t="s">
        <v>559</v>
      </c>
      <c r="B69" s="628" t="s">
        <v>542</v>
      </c>
      <c r="C69" s="215" t="s">
        <v>582</v>
      </c>
      <c r="D69" s="136">
        <v>32558810035</v>
      </c>
      <c r="E69" s="136">
        <v>32558810035</v>
      </c>
      <c r="F69" s="136">
        <f>D69-E69</f>
        <v>0</v>
      </c>
      <c r="G69" s="630">
        <f t="shared" si="1"/>
        <v>1</v>
      </c>
      <c r="H69" s="139"/>
      <c r="I69" s="667"/>
      <c r="J69" s="620"/>
      <c r="K69" s="620"/>
      <c r="L69" s="620"/>
      <c r="M69" s="642"/>
    </row>
    <row r="70" spans="1:13" s="62" customFormat="1" hidden="1">
      <c r="A70" s="142" t="s">
        <v>562</v>
      </c>
      <c r="B70" s="628" t="s">
        <v>545</v>
      </c>
      <c r="C70" s="215"/>
      <c r="D70" s="136">
        <f>D71+D72</f>
        <v>20731197288</v>
      </c>
      <c r="E70" s="136">
        <f>E71+E72</f>
        <v>20731197288</v>
      </c>
      <c r="F70" s="136">
        <f>F71+F72</f>
        <v>0</v>
      </c>
      <c r="G70" s="630">
        <f t="shared" si="1"/>
        <v>1</v>
      </c>
      <c r="H70" s="629"/>
      <c r="I70" s="667"/>
      <c r="J70" s="620"/>
      <c r="K70" s="620"/>
      <c r="L70" s="620"/>
      <c r="M70" s="642"/>
    </row>
    <row r="71" spans="1:13" s="62" customFormat="1" ht="112.15" hidden="1" customHeight="1">
      <c r="A71" s="655"/>
      <c r="B71" s="656"/>
      <c r="C71" s="486" t="s">
        <v>583</v>
      </c>
      <c r="D71" s="668">
        <v>14226197288</v>
      </c>
      <c r="E71" s="668">
        <v>14226197288</v>
      </c>
      <c r="F71" s="668">
        <f>D71-E71</f>
        <v>0</v>
      </c>
      <c r="G71" s="669">
        <f t="shared" si="1"/>
        <v>1</v>
      </c>
      <c r="H71" s="651"/>
      <c r="I71" s="667"/>
      <c r="J71" s="620"/>
      <c r="K71" s="620"/>
      <c r="L71" s="136"/>
      <c r="M71" s="670"/>
    </row>
    <row r="72" spans="1:13" s="62" customFormat="1" ht="219" hidden="1" customHeight="1">
      <c r="A72" s="617"/>
      <c r="B72" s="658"/>
      <c r="C72" s="644" t="s">
        <v>584</v>
      </c>
      <c r="D72" s="645">
        <v>6505000000</v>
      </c>
      <c r="E72" s="645">
        <v>6505000000</v>
      </c>
      <c r="F72" s="645">
        <f>D72-E72</f>
        <v>0</v>
      </c>
      <c r="G72" s="646">
        <f t="shared" si="1"/>
        <v>1</v>
      </c>
      <c r="H72" s="671"/>
      <c r="I72" s="667"/>
      <c r="J72" s="620"/>
      <c r="K72" s="620"/>
      <c r="L72" s="620"/>
      <c r="M72" s="642"/>
    </row>
    <row r="73" spans="1:13" s="47" customFormat="1" ht="31.5">
      <c r="A73" s="142" t="s">
        <v>272</v>
      </c>
      <c r="B73" s="628" t="s">
        <v>585</v>
      </c>
      <c r="C73" s="215"/>
      <c r="D73" s="137">
        <f>D74+D95</f>
        <v>77805455496</v>
      </c>
      <c r="E73" s="137">
        <f>E74+E95</f>
        <v>71142229496</v>
      </c>
      <c r="F73" s="137">
        <f>F74+F95</f>
        <v>6663226000</v>
      </c>
      <c r="G73" s="630">
        <f t="shared" si="1"/>
        <v>0.9143604268168245</v>
      </c>
      <c r="H73" s="142"/>
      <c r="I73" s="619"/>
      <c r="J73" s="620"/>
      <c r="K73" s="620"/>
      <c r="L73" s="620"/>
      <c r="M73" s="647"/>
    </row>
    <row r="74" spans="1:13" s="47" customFormat="1">
      <c r="A74" s="142">
        <v>1</v>
      </c>
      <c r="B74" s="628" t="s">
        <v>13</v>
      </c>
      <c r="C74" s="215"/>
      <c r="D74" s="137">
        <f>D75+D92</f>
        <v>66677661496</v>
      </c>
      <c r="E74" s="137">
        <f>E75+E92</f>
        <v>66677661496</v>
      </c>
      <c r="F74" s="137">
        <f>F75+F92</f>
        <v>0</v>
      </c>
      <c r="G74" s="630">
        <f t="shared" si="1"/>
        <v>1</v>
      </c>
      <c r="H74" s="142"/>
      <c r="I74" s="619"/>
      <c r="J74" s="620"/>
      <c r="K74" s="620"/>
      <c r="L74" s="620"/>
      <c r="M74" s="647"/>
    </row>
    <row r="75" spans="1:13" s="47" customFormat="1" hidden="1">
      <c r="A75" s="142" t="s">
        <v>130</v>
      </c>
      <c r="B75" s="628" t="s">
        <v>586</v>
      </c>
      <c r="C75" s="628"/>
      <c r="D75" s="137">
        <f>D76</f>
        <v>66318417496</v>
      </c>
      <c r="E75" s="137">
        <f>E76</f>
        <v>66318417496</v>
      </c>
      <c r="F75" s="137">
        <f>F76</f>
        <v>0</v>
      </c>
      <c r="G75" s="630">
        <f t="shared" ref="G75:G138" si="4">+E75/D75</f>
        <v>1</v>
      </c>
      <c r="H75" s="142"/>
      <c r="I75" s="619"/>
      <c r="J75" s="620"/>
      <c r="K75" s="620"/>
      <c r="L75" s="657"/>
      <c r="M75" s="647"/>
    </row>
    <row r="76" spans="1:13" s="47" customFormat="1" hidden="1">
      <c r="A76" s="142" t="s">
        <v>128</v>
      </c>
      <c r="B76" s="628" t="s">
        <v>49</v>
      </c>
      <c r="C76" s="628"/>
      <c r="D76" s="137">
        <f>D77+D86</f>
        <v>66318417496</v>
      </c>
      <c r="E76" s="137">
        <f>E77+E86</f>
        <v>66318417496</v>
      </c>
      <c r="F76" s="137">
        <f>F77+F86</f>
        <v>0</v>
      </c>
      <c r="G76" s="630">
        <f t="shared" si="4"/>
        <v>1</v>
      </c>
      <c r="H76" s="142"/>
      <c r="I76" s="619"/>
      <c r="J76" s="620"/>
      <c r="K76" s="620"/>
      <c r="L76" s="657"/>
      <c r="M76" s="647"/>
    </row>
    <row r="77" spans="1:13" s="47" customFormat="1" ht="31.5" hidden="1">
      <c r="A77" s="142"/>
      <c r="B77" s="628"/>
      <c r="C77" s="628" t="s">
        <v>587</v>
      </c>
      <c r="D77" s="137">
        <f>SUM(D78:D85)</f>
        <v>56901556774</v>
      </c>
      <c r="E77" s="137">
        <f>SUM(E78:E85)</f>
        <v>56901556774</v>
      </c>
      <c r="F77" s="137">
        <f>SUM(F78:F85)</f>
        <v>0</v>
      </c>
      <c r="G77" s="630">
        <f t="shared" si="4"/>
        <v>1</v>
      </c>
      <c r="H77" s="142"/>
      <c r="I77" s="619"/>
      <c r="J77" s="620"/>
      <c r="K77" s="620"/>
      <c r="L77" s="657"/>
      <c r="M77" s="647"/>
    </row>
    <row r="78" spans="1:13" ht="160.9" hidden="1" customHeight="1">
      <c r="A78" s="139"/>
      <c r="B78" s="215"/>
      <c r="C78" s="215" t="s">
        <v>588</v>
      </c>
      <c r="D78" s="136">
        <f>17191000000+527000000+86000000+67000000+931000000+77000000</f>
        <v>18879000000</v>
      </c>
      <c r="E78" s="136">
        <v>18879000000</v>
      </c>
      <c r="F78" s="136">
        <f>D78-E78</f>
        <v>0</v>
      </c>
      <c r="G78" s="633">
        <f t="shared" si="4"/>
        <v>1</v>
      </c>
      <c r="H78" s="139"/>
      <c r="I78" s="619"/>
      <c r="J78" s="620"/>
      <c r="K78" s="620"/>
      <c r="L78" s="620"/>
    </row>
    <row r="79" spans="1:13" ht="72.599999999999994" hidden="1" customHeight="1">
      <c r="A79" s="139"/>
      <c r="B79" s="215"/>
      <c r="C79" s="215" t="s">
        <v>589</v>
      </c>
      <c r="D79" s="136">
        <v>18861888124</v>
      </c>
      <c r="E79" s="136">
        <v>18861888124</v>
      </c>
      <c r="F79" s="136">
        <f t="shared" ref="F79:F85" si="5">D79-E79</f>
        <v>0</v>
      </c>
      <c r="G79" s="633">
        <f t="shared" si="4"/>
        <v>1</v>
      </c>
      <c r="H79" s="139"/>
      <c r="I79" s="619"/>
      <c r="J79" s="620"/>
      <c r="K79" s="620"/>
      <c r="L79" s="620"/>
    </row>
    <row r="80" spans="1:13" hidden="1">
      <c r="A80" s="139"/>
      <c r="B80" s="215"/>
      <c r="C80" s="215" t="s">
        <v>112</v>
      </c>
      <c r="D80" s="672">
        <v>5867200000</v>
      </c>
      <c r="E80" s="136">
        <v>5867200000</v>
      </c>
      <c r="F80" s="136">
        <f t="shared" si="5"/>
        <v>0</v>
      </c>
      <c r="G80" s="633">
        <f t="shared" si="4"/>
        <v>1</v>
      </c>
      <c r="H80" s="139"/>
      <c r="I80" s="619"/>
      <c r="J80" s="620"/>
      <c r="K80" s="620"/>
      <c r="L80" s="620"/>
    </row>
    <row r="81" spans="1:13" hidden="1">
      <c r="A81" s="139"/>
      <c r="B81" s="215"/>
      <c r="C81" s="215" t="s">
        <v>590</v>
      </c>
      <c r="D81" s="673">
        <v>2683000000</v>
      </c>
      <c r="E81" s="136">
        <v>2683000000</v>
      </c>
      <c r="F81" s="136">
        <f t="shared" si="5"/>
        <v>0</v>
      </c>
      <c r="G81" s="633">
        <f t="shared" si="4"/>
        <v>1</v>
      </c>
      <c r="H81" s="139"/>
      <c r="I81" s="619"/>
      <c r="J81" s="620"/>
      <c r="K81" s="620"/>
      <c r="L81" s="620"/>
    </row>
    <row r="82" spans="1:13" hidden="1">
      <c r="A82" s="139"/>
      <c r="B82" s="215"/>
      <c r="C82" s="215" t="s">
        <v>591</v>
      </c>
      <c r="D82" s="672">
        <v>5548439168</v>
      </c>
      <c r="E82" s="136">
        <v>5548439168</v>
      </c>
      <c r="F82" s="136">
        <f t="shared" si="5"/>
        <v>0</v>
      </c>
      <c r="G82" s="633">
        <f t="shared" si="4"/>
        <v>1</v>
      </c>
      <c r="H82" s="139"/>
      <c r="I82" s="619"/>
      <c r="J82" s="620"/>
      <c r="K82" s="620"/>
      <c r="L82" s="620"/>
    </row>
    <row r="83" spans="1:13" hidden="1">
      <c r="A83" s="651"/>
      <c r="B83" s="486"/>
      <c r="C83" s="674" t="s">
        <v>56</v>
      </c>
      <c r="D83" s="675">
        <v>972000000</v>
      </c>
      <c r="E83" s="668">
        <v>972000000</v>
      </c>
      <c r="F83" s="668">
        <f t="shared" si="5"/>
        <v>0</v>
      </c>
      <c r="G83" s="669">
        <f t="shared" si="4"/>
        <v>1</v>
      </c>
      <c r="H83" s="651"/>
      <c r="I83" s="619"/>
      <c r="J83" s="620"/>
      <c r="K83" s="620"/>
      <c r="L83" s="620"/>
    </row>
    <row r="84" spans="1:13" hidden="1">
      <c r="A84" s="643"/>
      <c r="B84" s="644"/>
      <c r="C84" s="676" t="s">
        <v>39</v>
      </c>
      <c r="D84" s="677">
        <v>1122003901</v>
      </c>
      <c r="E84" s="645">
        <v>1122003901</v>
      </c>
      <c r="F84" s="645">
        <f t="shared" si="5"/>
        <v>0</v>
      </c>
      <c r="G84" s="646">
        <f t="shared" si="4"/>
        <v>1</v>
      </c>
      <c r="H84" s="643"/>
      <c r="I84" s="619"/>
      <c r="J84" s="620"/>
      <c r="K84" s="620"/>
      <c r="L84" s="620"/>
    </row>
    <row r="85" spans="1:13" hidden="1">
      <c r="A85" s="139"/>
      <c r="B85" s="215"/>
      <c r="C85" s="215" t="s">
        <v>99</v>
      </c>
      <c r="D85" s="672">
        <v>2968025581</v>
      </c>
      <c r="E85" s="136">
        <v>2968025581</v>
      </c>
      <c r="F85" s="136">
        <f t="shared" si="5"/>
        <v>0</v>
      </c>
      <c r="G85" s="633">
        <f t="shared" si="4"/>
        <v>1</v>
      </c>
      <c r="H85" s="139"/>
      <c r="I85" s="619"/>
      <c r="J85" s="620"/>
      <c r="K85" s="620"/>
      <c r="L85" s="620"/>
    </row>
    <row r="86" spans="1:13" s="47" customFormat="1" ht="47.45" hidden="1" customHeight="1">
      <c r="A86" s="142"/>
      <c r="B86" s="628"/>
      <c r="C86" s="628" t="s">
        <v>592</v>
      </c>
      <c r="D86" s="137">
        <f>SUM(D87:D91)</f>
        <v>9416860722</v>
      </c>
      <c r="E86" s="137">
        <f>SUM(E87:E91)</f>
        <v>9416860722</v>
      </c>
      <c r="F86" s="137">
        <f>SUM(F87:F91)</f>
        <v>0</v>
      </c>
      <c r="G86" s="630">
        <f t="shared" si="4"/>
        <v>1</v>
      </c>
      <c r="H86" s="142"/>
      <c r="I86" s="619"/>
      <c r="J86" s="620"/>
      <c r="K86" s="620"/>
      <c r="L86" s="657"/>
      <c r="M86" s="647"/>
    </row>
    <row r="87" spans="1:13" ht="163.5" hidden="1" customHeight="1">
      <c r="A87" s="139"/>
      <c r="B87" s="215"/>
      <c r="C87" s="215" t="s">
        <v>593</v>
      </c>
      <c r="D87" s="673">
        <f>1722695000+1042530000-983430000+1149720000</f>
        <v>2931515000</v>
      </c>
      <c r="E87" s="136">
        <f>1722695000+1149720000+59100000</f>
        <v>2931515000</v>
      </c>
      <c r="F87" s="136">
        <f>D87-E87</f>
        <v>0</v>
      </c>
      <c r="G87" s="633">
        <f t="shared" si="4"/>
        <v>1</v>
      </c>
      <c r="H87" s="139"/>
      <c r="I87" s="619"/>
      <c r="J87" s="620"/>
      <c r="K87" s="620"/>
      <c r="L87" s="620"/>
    </row>
    <row r="88" spans="1:13" ht="142.15" hidden="1" customHeight="1">
      <c r="A88" s="139"/>
      <c r="B88" s="215"/>
      <c r="C88" s="215" t="s">
        <v>594</v>
      </c>
      <c r="D88" s="673">
        <v>644068000</v>
      </c>
      <c r="E88" s="136">
        <f>254780000+367710000+21578000</f>
        <v>644068000</v>
      </c>
      <c r="F88" s="136">
        <f>D88-E88</f>
        <v>0</v>
      </c>
      <c r="G88" s="633">
        <f t="shared" si="4"/>
        <v>1</v>
      </c>
      <c r="H88" s="139"/>
      <c r="I88" s="619"/>
      <c r="J88" s="620"/>
      <c r="K88" s="620"/>
      <c r="L88" s="620"/>
    </row>
    <row r="89" spans="1:13" ht="189" hidden="1">
      <c r="A89" s="651"/>
      <c r="B89" s="486"/>
      <c r="C89" s="486" t="s">
        <v>595</v>
      </c>
      <c r="D89" s="678">
        <v>1405984000</v>
      </c>
      <c r="E89" s="668">
        <f>708784000+697200000</f>
        <v>1405984000</v>
      </c>
      <c r="F89" s="668">
        <f>D89-E89</f>
        <v>0</v>
      </c>
      <c r="G89" s="669">
        <f t="shared" si="4"/>
        <v>1</v>
      </c>
      <c r="H89" s="651"/>
      <c r="I89" s="619"/>
      <c r="J89" s="620"/>
      <c r="K89" s="620"/>
      <c r="L89" s="620"/>
    </row>
    <row r="90" spans="1:13" ht="310.89999999999998" hidden="1" customHeight="1">
      <c r="A90" s="643"/>
      <c r="B90" s="644"/>
      <c r="C90" s="644" t="s">
        <v>596</v>
      </c>
      <c r="D90" s="679">
        <f>5808978879-4410157729-327780000</f>
        <v>1071041150</v>
      </c>
      <c r="E90" s="645">
        <f>993900000+23645000+15870000+35600000+2026150</f>
        <v>1071041150</v>
      </c>
      <c r="F90" s="645">
        <f>D90-E90</f>
        <v>0</v>
      </c>
      <c r="G90" s="646">
        <f t="shared" si="4"/>
        <v>1</v>
      </c>
      <c r="H90" s="643"/>
      <c r="I90" s="619"/>
      <c r="J90" s="620"/>
      <c r="K90" s="620"/>
      <c r="L90" s="620"/>
      <c r="M90" s="664"/>
    </row>
    <row r="91" spans="1:13" ht="152.44999999999999" hidden="1" customHeight="1">
      <c r="A91" s="139"/>
      <c r="B91" s="215"/>
      <c r="C91" s="215" t="s">
        <v>597</v>
      </c>
      <c r="D91" s="673">
        <v>3364252572</v>
      </c>
      <c r="E91" s="136">
        <v>3364252572</v>
      </c>
      <c r="F91" s="136">
        <f>D91-E91</f>
        <v>0</v>
      </c>
      <c r="G91" s="633">
        <f t="shared" si="4"/>
        <v>1</v>
      </c>
      <c r="H91" s="139"/>
      <c r="I91" s="619"/>
      <c r="J91" s="620"/>
      <c r="K91" s="620"/>
      <c r="L91" s="620"/>
    </row>
    <row r="92" spans="1:13" hidden="1">
      <c r="A92" s="142" t="s">
        <v>562</v>
      </c>
      <c r="B92" s="628" t="s">
        <v>545</v>
      </c>
      <c r="C92" s="215"/>
      <c r="D92" s="137">
        <f>D93+D94</f>
        <v>359244000</v>
      </c>
      <c r="E92" s="137">
        <f>E93+E94</f>
        <v>359244000</v>
      </c>
      <c r="F92" s="137">
        <f>F93+F94</f>
        <v>0</v>
      </c>
      <c r="G92" s="630">
        <f t="shared" si="4"/>
        <v>1</v>
      </c>
      <c r="H92" s="139"/>
      <c r="I92" s="619"/>
      <c r="J92" s="620"/>
      <c r="K92" s="620"/>
      <c r="L92" s="620"/>
    </row>
    <row r="93" spans="1:13" ht="36" hidden="1" customHeight="1">
      <c r="A93" s="142" t="s">
        <v>128</v>
      </c>
      <c r="B93" s="680" t="s">
        <v>590</v>
      </c>
      <c r="C93" s="28" t="s">
        <v>598</v>
      </c>
      <c r="D93" s="136">
        <v>249444000</v>
      </c>
      <c r="E93" s="136">
        <v>249444000</v>
      </c>
      <c r="F93" s="136">
        <f>D93-E93</f>
        <v>0</v>
      </c>
      <c r="G93" s="633">
        <f t="shared" si="4"/>
        <v>1</v>
      </c>
      <c r="H93" s="139"/>
      <c r="I93" s="619"/>
      <c r="J93" s="620"/>
      <c r="K93" s="620"/>
      <c r="L93" s="620"/>
    </row>
    <row r="94" spans="1:13" s="62" customFormat="1" ht="55.9" hidden="1" customHeight="1">
      <c r="A94" s="629" t="s">
        <v>128</v>
      </c>
      <c r="B94" s="680" t="s">
        <v>566</v>
      </c>
      <c r="C94" s="28" t="s">
        <v>599</v>
      </c>
      <c r="D94" s="136">
        <v>109800000</v>
      </c>
      <c r="E94" s="136">
        <v>109800000</v>
      </c>
      <c r="F94" s="136">
        <f>D94-E94</f>
        <v>0</v>
      </c>
      <c r="G94" s="633">
        <f t="shared" si="4"/>
        <v>1</v>
      </c>
      <c r="H94" s="629"/>
      <c r="I94" s="619"/>
      <c r="J94" s="620"/>
      <c r="K94" s="620"/>
      <c r="L94" s="620"/>
      <c r="M94" s="609"/>
    </row>
    <row r="95" spans="1:13">
      <c r="A95" s="142">
        <v>2</v>
      </c>
      <c r="B95" s="628" t="s">
        <v>8</v>
      </c>
      <c r="C95" s="215"/>
      <c r="D95" s="137">
        <f>D96+D105</f>
        <v>11127794000</v>
      </c>
      <c r="E95" s="137">
        <f>E96+E105</f>
        <v>4464568000</v>
      </c>
      <c r="F95" s="137">
        <f>F96+F105</f>
        <v>6663226000</v>
      </c>
      <c r="G95" s="630">
        <f t="shared" si="4"/>
        <v>0.40120872115353678</v>
      </c>
      <c r="H95" s="634"/>
      <c r="I95" s="619"/>
      <c r="J95" s="620"/>
      <c r="K95" s="620"/>
      <c r="L95" s="620"/>
    </row>
    <row r="96" spans="1:13" s="62" customFormat="1">
      <c r="A96" s="636" t="s">
        <v>559</v>
      </c>
      <c r="B96" s="637" t="s">
        <v>542</v>
      </c>
      <c r="C96" s="486"/>
      <c r="D96" s="650">
        <f>D97+D101</f>
        <v>8205062000</v>
      </c>
      <c r="E96" s="650">
        <f>E97+E101</f>
        <v>2065768000</v>
      </c>
      <c r="F96" s="650">
        <f>F97+F101</f>
        <v>6139294000</v>
      </c>
      <c r="G96" s="640">
        <f t="shared" si="4"/>
        <v>0.25176750644906765</v>
      </c>
      <c r="H96" s="681"/>
      <c r="I96" s="619"/>
      <c r="J96" s="620"/>
      <c r="K96" s="620"/>
      <c r="L96" s="620"/>
      <c r="M96" s="642"/>
    </row>
    <row r="97" spans="1:13" s="689" customFormat="1" ht="31.5">
      <c r="A97" s="682" t="s">
        <v>128</v>
      </c>
      <c r="B97" s="683" t="s">
        <v>600</v>
      </c>
      <c r="C97" s="684"/>
      <c r="D97" s="685">
        <f>SUM(D98:D100)</f>
        <v>6285517000</v>
      </c>
      <c r="E97" s="685">
        <f>SUM(E98:E100)</f>
        <v>146223000</v>
      </c>
      <c r="F97" s="685">
        <f>SUM(F98:F100)</f>
        <v>6139294000</v>
      </c>
      <c r="G97" s="659">
        <f t="shared" si="4"/>
        <v>2.3263480156047626E-2</v>
      </c>
      <c r="H97" s="686"/>
      <c r="I97" s="619"/>
      <c r="J97" s="620"/>
      <c r="K97" s="620"/>
      <c r="L97" s="687"/>
      <c r="M97" s="688"/>
    </row>
    <row r="98" spans="1:13" s="62" customFormat="1" ht="47.25">
      <c r="A98" s="629"/>
      <c r="B98" s="213"/>
      <c r="C98" s="690" t="s">
        <v>601</v>
      </c>
      <c r="D98" s="174">
        <v>146223000</v>
      </c>
      <c r="E98" s="174">
        <v>146223000</v>
      </c>
      <c r="F98" s="174">
        <f>D98-E98</f>
        <v>0</v>
      </c>
      <c r="G98" s="633">
        <f t="shared" si="4"/>
        <v>1</v>
      </c>
      <c r="H98" s="691"/>
      <c r="I98" s="619"/>
      <c r="J98" s="620"/>
      <c r="K98" s="620"/>
      <c r="L98" s="692"/>
      <c r="M98" s="642"/>
    </row>
    <row r="99" spans="1:13" s="62" customFormat="1" ht="47.45" customHeight="1">
      <c r="A99" s="629"/>
      <c r="B99" s="213"/>
      <c r="C99" s="690" t="s">
        <v>602</v>
      </c>
      <c r="D99" s="174">
        <v>5763365000</v>
      </c>
      <c r="E99" s="174"/>
      <c r="F99" s="174">
        <f>D99-E99</f>
        <v>5763365000</v>
      </c>
      <c r="G99" s="633">
        <f t="shared" si="4"/>
        <v>0</v>
      </c>
      <c r="H99" s="1087" t="s">
        <v>603</v>
      </c>
      <c r="I99" s="619"/>
      <c r="J99" s="620"/>
      <c r="K99" s="620"/>
      <c r="L99" s="692"/>
      <c r="M99" s="642"/>
    </row>
    <row r="100" spans="1:13" s="62" customFormat="1" ht="33.6" customHeight="1">
      <c r="A100" s="629"/>
      <c r="B100" s="213"/>
      <c r="C100" s="690" t="s">
        <v>604</v>
      </c>
      <c r="D100" s="174">
        <v>375929000</v>
      </c>
      <c r="E100" s="174"/>
      <c r="F100" s="174">
        <f>D100-E100</f>
        <v>375929000</v>
      </c>
      <c r="G100" s="633">
        <f t="shared" si="4"/>
        <v>0</v>
      </c>
      <c r="H100" s="1087"/>
      <c r="I100" s="619"/>
      <c r="J100" s="620"/>
      <c r="K100" s="620"/>
      <c r="L100" s="692"/>
      <c r="M100" s="642"/>
    </row>
    <row r="101" spans="1:13" s="689" customFormat="1" ht="33" hidden="1" customHeight="1">
      <c r="A101" s="631" t="s">
        <v>128</v>
      </c>
      <c r="B101" s="693" t="s">
        <v>605</v>
      </c>
      <c r="C101" s="694"/>
      <c r="D101" s="695">
        <f>SUM(D102:D104)</f>
        <v>1919545000</v>
      </c>
      <c r="E101" s="695">
        <f>SUM(E102:E104)</f>
        <v>1919545000</v>
      </c>
      <c r="F101" s="695">
        <f>SUM(F102:F104)</f>
        <v>0</v>
      </c>
      <c r="G101" s="630">
        <f t="shared" si="4"/>
        <v>1</v>
      </c>
      <c r="H101" s="696"/>
      <c r="I101" s="619"/>
      <c r="J101" s="620"/>
      <c r="K101" s="620"/>
      <c r="L101" s="687"/>
      <c r="M101" s="688"/>
    </row>
    <row r="102" spans="1:13" s="62" customFormat="1" ht="48.6" hidden="1" customHeight="1">
      <c r="A102" s="629"/>
      <c r="B102" s="213"/>
      <c r="C102" s="690" t="s">
        <v>606</v>
      </c>
      <c r="D102" s="174">
        <v>477100000</v>
      </c>
      <c r="E102" s="174">
        <f>D102</f>
        <v>477100000</v>
      </c>
      <c r="F102" s="174">
        <f>D102-E102</f>
        <v>0</v>
      </c>
      <c r="G102" s="633">
        <f t="shared" si="4"/>
        <v>1</v>
      </c>
      <c r="H102" s="691"/>
      <c r="I102" s="619"/>
      <c r="J102" s="620"/>
      <c r="K102" s="620"/>
      <c r="L102" s="692"/>
      <c r="M102" s="642"/>
    </row>
    <row r="103" spans="1:13" s="62" customFormat="1" ht="46.15" hidden="1" customHeight="1">
      <c r="A103" s="629"/>
      <c r="B103" s="213"/>
      <c r="C103" s="690" t="s">
        <v>607</v>
      </c>
      <c r="D103" s="174">
        <v>715302000</v>
      </c>
      <c r="E103" s="174">
        <f>198186969+36354227+480760804</f>
        <v>715302000</v>
      </c>
      <c r="F103" s="174">
        <f>D103-E103</f>
        <v>0</v>
      </c>
      <c r="G103" s="633">
        <f t="shared" si="4"/>
        <v>1</v>
      </c>
      <c r="H103" s="691"/>
      <c r="I103" s="619"/>
      <c r="J103" s="620"/>
      <c r="K103" s="620"/>
      <c r="L103" s="692"/>
      <c r="M103" s="642"/>
    </row>
    <row r="104" spans="1:13" s="62" customFormat="1" ht="24.6" hidden="1" customHeight="1">
      <c r="A104" s="629"/>
      <c r="B104" s="213"/>
      <c r="C104" s="690" t="s">
        <v>608</v>
      </c>
      <c r="D104" s="174">
        <v>727143000</v>
      </c>
      <c r="E104" s="174">
        <f>D104</f>
        <v>727143000</v>
      </c>
      <c r="F104" s="174">
        <f>D104-E104</f>
        <v>0</v>
      </c>
      <c r="G104" s="633">
        <f t="shared" si="4"/>
        <v>1</v>
      </c>
      <c r="H104" s="691"/>
      <c r="I104" s="619"/>
      <c r="J104" s="620"/>
      <c r="K104" s="620"/>
      <c r="L104" s="692"/>
      <c r="M104" s="642"/>
    </row>
    <row r="105" spans="1:13" s="62" customFormat="1">
      <c r="A105" s="631" t="s">
        <v>562</v>
      </c>
      <c r="B105" s="648" t="s">
        <v>545</v>
      </c>
      <c r="C105" s="215"/>
      <c r="D105" s="137">
        <f>D106+D107+D111+D112+D113+D119</f>
        <v>2922732000</v>
      </c>
      <c r="E105" s="137">
        <f>E106+E107+E111+E112+E113+E119</f>
        <v>2398800000</v>
      </c>
      <c r="F105" s="137">
        <f>F106+F107+F111+F112+F113+F119</f>
        <v>523932000</v>
      </c>
      <c r="G105" s="630">
        <f t="shared" si="4"/>
        <v>0.82073895245954809</v>
      </c>
      <c r="H105" s="697"/>
      <c r="I105" s="619"/>
      <c r="J105" s="620"/>
      <c r="K105" s="620"/>
      <c r="L105" s="620"/>
      <c r="M105" s="642"/>
    </row>
    <row r="106" spans="1:13" s="47" customFormat="1" ht="31.5" hidden="1">
      <c r="A106" s="142" t="s">
        <v>128</v>
      </c>
      <c r="B106" s="628" t="s">
        <v>39</v>
      </c>
      <c r="C106" s="698" t="s">
        <v>548</v>
      </c>
      <c r="D106" s="699">
        <v>2238000</v>
      </c>
      <c r="E106" s="699">
        <v>2238000</v>
      </c>
      <c r="F106" s="137">
        <f>D106-E106</f>
        <v>0</v>
      </c>
      <c r="G106" s="630">
        <f t="shared" si="4"/>
        <v>1</v>
      </c>
      <c r="H106" s="634"/>
      <c r="I106" s="619"/>
      <c r="J106" s="620"/>
      <c r="K106" s="620"/>
      <c r="L106" s="657"/>
      <c r="M106" s="647"/>
    </row>
    <row r="107" spans="1:13" s="47" customFormat="1" hidden="1">
      <c r="A107" s="142" t="s">
        <v>128</v>
      </c>
      <c r="B107" s="628" t="s">
        <v>99</v>
      </c>
      <c r="C107" s="519"/>
      <c r="D107" s="699">
        <f>SUM(D108:D110)</f>
        <v>262944000</v>
      </c>
      <c r="E107" s="699">
        <f>SUM(E108:E110)</f>
        <v>262944000</v>
      </c>
      <c r="F107" s="699">
        <f>SUM(F108:F110)</f>
        <v>0</v>
      </c>
      <c r="G107" s="630">
        <f t="shared" si="4"/>
        <v>1</v>
      </c>
      <c r="H107" s="634"/>
      <c r="I107" s="619"/>
      <c r="J107" s="620"/>
      <c r="K107" s="620"/>
      <c r="L107" s="657"/>
      <c r="M107" s="647"/>
    </row>
    <row r="108" spans="1:13" s="62" customFormat="1" ht="33.6" hidden="1" customHeight="1">
      <c r="A108" s="629"/>
      <c r="B108" s="213"/>
      <c r="C108" s="700" t="s">
        <v>609</v>
      </c>
      <c r="D108" s="701">
        <v>114877000</v>
      </c>
      <c r="E108" s="701">
        <v>114877000</v>
      </c>
      <c r="F108" s="174">
        <f>D108-E108</f>
        <v>0</v>
      </c>
      <c r="G108" s="633">
        <f t="shared" si="4"/>
        <v>1</v>
      </c>
      <c r="H108" s="691"/>
      <c r="I108" s="619"/>
      <c r="J108" s="620"/>
      <c r="K108" s="620"/>
      <c r="L108" s="692"/>
      <c r="M108" s="642"/>
    </row>
    <row r="109" spans="1:13" s="62" customFormat="1" ht="103.9" hidden="1" customHeight="1">
      <c r="A109" s="629"/>
      <c r="B109" s="213"/>
      <c r="C109" s="700" t="s">
        <v>610</v>
      </c>
      <c r="D109" s="701">
        <v>49867000</v>
      </c>
      <c r="E109" s="701">
        <v>49867000</v>
      </c>
      <c r="F109" s="174">
        <f>D109-E109</f>
        <v>0</v>
      </c>
      <c r="G109" s="633">
        <f t="shared" si="4"/>
        <v>1</v>
      </c>
      <c r="H109" s="691"/>
      <c r="I109" s="619"/>
      <c r="J109" s="620"/>
      <c r="K109" s="620"/>
      <c r="L109" s="692"/>
      <c r="M109" s="642"/>
    </row>
    <row r="110" spans="1:13" s="62" customFormat="1" ht="52.9" hidden="1" customHeight="1">
      <c r="A110" s="641"/>
      <c r="B110" s="638"/>
      <c r="C110" s="702" t="s">
        <v>550</v>
      </c>
      <c r="D110" s="703">
        <v>98200000</v>
      </c>
      <c r="E110" s="703">
        <v>98200000</v>
      </c>
      <c r="F110" s="704">
        <f>D110-E110</f>
        <v>0</v>
      </c>
      <c r="G110" s="669">
        <f t="shared" si="4"/>
        <v>1</v>
      </c>
      <c r="H110" s="705"/>
      <c r="I110" s="619"/>
      <c r="J110" s="620"/>
      <c r="K110" s="620"/>
      <c r="L110" s="692"/>
      <c r="M110" s="642"/>
    </row>
    <row r="111" spans="1:13" s="47" customFormat="1" ht="81" customHeight="1">
      <c r="A111" s="617" t="s">
        <v>128</v>
      </c>
      <c r="B111" s="658" t="s">
        <v>566</v>
      </c>
      <c r="C111" s="706" t="s">
        <v>611</v>
      </c>
      <c r="D111" s="707">
        <v>45120000</v>
      </c>
      <c r="E111" s="707"/>
      <c r="F111" s="707">
        <f>D111-E111</f>
        <v>45120000</v>
      </c>
      <c r="G111" s="659">
        <f t="shared" si="4"/>
        <v>0</v>
      </c>
      <c r="H111" s="708"/>
      <c r="I111" s="619"/>
      <c r="J111" s="620"/>
      <c r="K111" s="620"/>
      <c r="L111" s="657"/>
      <c r="M111" s="647"/>
    </row>
    <row r="112" spans="1:13" s="47" customFormat="1">
      <c r="A112" s="142" t="s">
        <v>128</v>
      </c>
      <c r="B112" s="628" t="s">
        <v>327</v>
      </c>
      <c r="C112" s="698" t="s">
        <v>612</v>
      </c>
      <c r="D112" s="699">
        <v>791180000</v>
      </c>
      <c r="E112" s="699">
        <v>791180000</v>
      </c>
      <c r="F112" s="699">
        <f>D112-E112</f>
        <v>0</v>
      </c>
      <c r="G112" s="630">
        <f t="shared" si="4"/>
        <v>1</v>
      </c>
      <c r="H112" s="634"/>
      <c r="I112" s="619"/>
      <c r="J112" s="620"/>
      <c r="K112" s="620"/>
      <c r="L112" s="692"/>
      <c r="M112" s="642"/>
    </row>
    <row r="113" spans="1:13" s="47" customFormat="1">
      <c r="A113" s="142" t="s">
        <v>128</v>
      </c>
      <c r="B113" s="628" t="s">
        <v>552</v>
      </c>
      <c r="C113" s="525"/>
      <c r="D113" s="699">
        <f>SUM(D114:D118)</f>
        <v>1506467000</v>
      </c>
      <c r="E113" s="699">
        <f>SUM(E114:E118)</f>
        <v>1027655000</v>
      </c>
      <c r="F113" s="699">
        <f>SUM(F114:F118)</f>
        <v>478812000</v>
      </c>
      <c r="G113" s="630">
        <f t="shared" si="4"/>
        <v>0.68216230425226709</v>
      </c>
      <c r="H113" s="634"/>
      <c r="I113" s="619"/>
      <c r="J113" s="620"/>
      <c r="K113" s="620"/>
      <c r="L113" s="657"/>
      <c r="M113" s="647"/>
    </row>
    <row r="114" spans="1:13" s="62" customFormat="1" ht="37.15" customHeight="1">
      <c r="A114" s="629"/>
      <c r="B114" s="213"/>
      <c r="C114" s="700" t="s">
        <v>613</v>
      </c>
      <c r="D114" s="701">
        <v>1027655000</v>
      </c>
      <c r="E114" s="701">
        <v>1027655000</v>
      </c>
      <c r="F114" s="174">
        <f>D114-E114</f>
        <v>0</v>
      </c>
      <c r="G114" s="633">
        <f t="shared" si="4"/>
        <v>1</v>
      </c>
      <c r="H114" s="691"/>
      <c r="I114" s="619"/>
      <c r="J114" s="620"/>
      <c r="K114" s="620"/>
      <c r="L114" s="692"/>
      <c r="M114" s="642"/>
    </row>
    <row r="115" spans="1:13" s="62" customFormat="1" ht="47.25" customHeight="1">
      <c r="A115" s="629"/>
      <c r="B115" s="213"/>
      <c r="C115" s="700" t="s">
        <v>614</v>
      </c>
      <c r="D115" s="701">
        <v>229306000</v>
      </c>
      <c r="E115" s="701"/>
      <c r="F115" s="174">
        <f>D115-E115</f>
        <v>229306000</v>
      </c>
      <c r="G115" s="633">
        <f t="shared" si="4"/>
        <v>0</v>
      </c>
      <c r="H115" s="1087" t="s">
        <v>615</v>
      </c>
      <c r="I115" s="619"/>
      <c r="J115" s="620"/>
      <c r="K115" s="620"/>
      <c r="L115" s="692"/>
      <c r="M115" s="642"/>
    </row>
    <row r="116" spans="1:13" s="62" customFormat="1" ht="31.5">
      <c r="A116" s="629"/>
      <c r="B116" s="213"/>
      <c r="C116" s="700" t="s">
        <v>616</v>
      </c>
      <c r="D116" s="701">
        <v>95254000</v>
      </c>
      <c r="E116" s="701"/>
      <c r="F116" s="174">
        <f>D116-E116</f>
        <v>95254000</v>
      </c>
      <c r="G116" s="633">
        <f t="shared" si="4"/>
        <v>0</v>
      </c>
      <c r="H116" s="1087"/>
      <c r="I116" s="619"/>
      <c r="J116" s="620"/>
      <c r="K116" s="620"/>
      <c r="L116" s="692"/>
      <c r="M116" s="642"/>
    </row>
    <row r="117" spans="1:13" s="62" customFormat="1" ht="30.6" customHeight="1">
      <c r="A117" s="629"/>
      <c r="B117" s="213"/>
      <c r="C117" s="700" t="s">
        <v>617</v>
      </c>
      <c r="D117" s="701">
        <v>54658000</v>
      </c>
      <c r="E117" s="701"/>
      <c r="F117" s="174">
        <f>D117-E117</f>
        <v>54658000</v>
      </c>
      <c r="G117" s="633">
        <f t="shared" si="4"/>
        <v>0</v>
      </c>
      <c r="H117" s="1087"/>
      <c r="I117" s="619"/>
      <c r="J117" s="620"/>
      <c r="K117" s="620"/>
      <c r="L117" s="692"/>
      <c r="M117" s="642"/>
    </row>
    <row r="118" spans="1:13" s="62" customFormat="1" ht="40.15" customHeight="1">
      <c r="A118" s="629"/>
      <c r="B118" s="213"/>
      <c r="C118" s="700" t="s">
        <v>618</v>
      </c>
      <c r="D118" s="701">
        <v>99594000</v>
      </c>
      <c r="E118" s="701"/>
      <c r="F118" s="174">
        <f>D118-E118</f>
        <v>99594000</v>
      </c>
      <c r="G118" s="633">
        <f t="shared" si="4"/>
        <v>0</v>
      </c>
      <c r="H118" s="1087"/>
      <c r="I118" s="619"/>
      <c r="J118" s="620"/>
      <c r="K118" s="620"/>
      <c r="L118" s="692"/>
      <c r="M118" s="642"/>
    </row>
    <row r="119" spans="1:13" s="47" customFormat="1" hidden="1">
      <c r="A119" s="142" t="s">
        <v>128</v>
      </c>
      <c r="B119" s="628" t="s">
        <v>112</v>
      </c>
      <c r="C119" s="525"/>
      <c r="D119" s="699">
        <f>SUM(D120:D125)</f>
        <v>314783000</v>
      </c>
      <c r="E119" s="699">
        <f>SUM(E120:E125)</f>
        <v>314783000</v>
      </c>
      <c r="F119" s="699">
        <f>SUM(F120:F125)</f>
        <v>0</v>
      </c>
      <c r="G119" s="630">
        <f t="shared" si="4"/>
        <v>1</v>
      </c>
      <c r="H119" s="634"/>
      <c r="I119" s="619"/>
      <c r="J119" s="620"/>
      <c r="K119" s="620"/>
      <c r="L119" s="657"/>
      <c r="M119" s="647"/>
    </row>
    <row r="120" spans="1:13" s="62" customFormat="1" ht="31.5" hidden="1">
      <c r="A120" s="629"/>
      <c r="B120" s="213"/>
      <c r="C120" s="700" t="s">
        <v>619</v>
      </c>
      <c r="D120" s="701">
        <v>121194000</v>
      </c>
      <c r="E120" s="701">
        <v>121194000</v>
      </c>
      <c r="F120" s="174">
        <f t="shared" ref="F120:F125" si="6">D120-E120</f>
        <v>0</v>
      </c>
      <c r="G120" s="633">
        <f t="shared" si="4"/>
        <v>1</v>
      </c>
      <c r="H120" s="691"/>
      <c r="I120" s="619"/>
      <c r="J120" s="620"/>
      <c r="K120" s="620"/>
      <c r="L120" s="620"/>
      <c r="M120" s="642"/>
    </row>
    <row r="121" spans="1:13" s="62" customFormat="1" ht="33" hidden="1" customHeight="1">
      <c r="A121" s="629"/>
      <c r="B121" s="213"/>
      <c r="C121" s="700" t="s">
        <v>620</v>
      </c>
      <c r="D121" s="701">
        <v>135094000</v>
      </c>
      <c r="E121" s="701">
        <v>135094000</v>
      </c>
      <c r="F121" s="174">
        <f t="shared" si="6"/>
        <v>0</v>
      </c>
      <c r="G121" s="633">
        <f t="shared" si="4"/>
        <v>1</v>
      </c>
      <c r="H121" s="691"/>
      <c r="I121" s="619"/>
      <c r="J121" s="620"/>
      <c r="K121" s="620"/>
      <c r="L121" s="620"/>
      <c r="M121" s="642"/>
    </row>
    <row r="122" spans="1:13" s="62" customFormat="1" ht="31.5" hidden="1">
      <c r="A122" s="629"/>
      <c r="B122" s="213"/>
      <c r="C122" s="700" t="s">
        <v>621</v>
      </c>
      <c r="D122" s="701">
        <v>17448000</v>
      </c>
      <c r="E122" s="701">
        <v>17448000</v>
      </c>
      <c r="F122" s="174">
        <f t="shared" si="6"/>
        <v>0</v>
      </c>
      <c r="G122" s="633">
        <f t="shared" si="4"/>
        <v>1</v>
      </c>
      <c r="H122" s="691"/>
      <c r="I122" s="619"/>
      <c r="J122" s="620"/>
      <c r="K122" s="620"/>
      <c r="L122" s="620"/>
      <c r="M122" s="642"/>
    </row>
    <row r="123" spans="1:13" s="47" customFormat="1" ht="37.15" hidden="1" customHeight="1">
      <c r="A123" s="629"/>
      <c r="B123" s="213"/>
      <c r="C123" s="700" t="s">
        <v>622</v>
      </c>
      <c r="D123" s="701">
        <v>9773000</v>
      </c>
      <c r="E123" s="701">
        <v>9773000</v>
      </c>
      <c r="F123" s="174">
        <f t="shared" si="6"/>
        <v>0</v>
      </c>
      <c r="G123" s="633">
        <f t="shared" si="4"/>
        <v>1</v>
      </c>
      <c r="H123" s="697"/>
      <c r="I123" s="619"/>
      <c r="J123" s="620"/>
      <c r="K123" s="620"/>
      <c r="L123" s="620"/>
      <c r="M123" s="642"/>
    </row>
    <row r="124" spans="1:13" s="47" customFormat="1" ht="31.5" hidden="1">
      <c r="A124" s="629"/>
      <c r="B124" s="213"/>
      <c r="C124" s="700" t="s">
        <v>623</v>
      </c>
      <c r="D124" s="701">
        <v>17605000</v>
      </c>
      <c r="E124" s="701">
        <v>17605000</v>
      </c>
      <c r="F124" s="174">
        <f t="shared" si="6"/>
        <v>0</v>
      </c>
      <c r="G124" s="633">
        <f t="shared" si="4"/>
        <v>1</v>
      </c>
      <c r="H124" s="697"/>
      <c r="I124" s="619"/>
      <c r="J124" s="620"/>
      <c r="K124" s="620"/>
      <c r="L124" s="620"/>
      <c r="M124" s="642"/>
    </row>
    <row r="125" spans="1:13" s="47" customFormat="1" ht="31.9" hidden="1" customHeight="1">
      <c r="A125" s="629"/>
      <c r="B125" s="213"/>
      <c r="C125" s="709" t="s">
        <v>624</v>
      </c>
      <c r="D125" s="710">
        <v>13669000</v>
      </c>
      <c r="E125" s="701">
        <v>13669000</v>
      </c>
      <c r="F125" s="174">
        <f t="shared" si="6"/>
        <v>0</v>
      </c>
      <c r="G125" s="633">
        <f t="shared" si="4"/>
        <v>1</v>
      </c>
      <c r="H125" s="697"/>
      <c r="I125" s="619"/>
      <c r="J125" s="620"/>
      <c r="K125" s="620"/>
      <c r="L125" s="620"/>
      <c r="M125" s="642"/>
    </row>
    <row r="126" spans="1:13" s="47" customFormat="1" ht="31.5">
      <c r="A126" s="142" t="s">
        <v>426</v>
      </c>
      <c r="B126" s="628" t="s">
        <v>625</v>
      </c>
      <c r="C126" s="464"/>
      <c r="D126" s="699">
        <f>D127+D134</f>
        <v>5301205000</v>
      </c>
      <c r="E126" s="699">
        <f>E127+E134</f>
        <v>4171554543</v>
      </c>
      <c r="F126" s="699">
        <f>F127+F134</f>
        <v>1129650457</v>
      </c>
      <c r="G126" s="630">
        <f t="shared" si="4"/>
        <v>0.78690685287590278</v>
      </c>
      <c r="H126" s="697"/>
      <c r="I126" s="619"/>
      <c r="J126" s="620"/>
      <c r="K126" s="620"/>
      <c r="L126" s="620"/>
      <c r="M126" s="647"/>
    </row>
    <row r="127" spans="1:13" s="47" customFormat="1">
      <c r="A127" s="142" t="s">
        <v>559</v>
      </c>
      <c r="B127" s="628" t="s">
        <v>542</v>
      </c>
      <c r="C127" s="464"/>
      <c r="D127" s="699">
        <f>D128+D131</f>
        <v>4824786000</v>
      </c>
      <c r="E127" s="699">
        <f>E128+E131</f>
        <v>3695135543</v>
      </c>
      <c r="F127" s="699">
        <f>F128+F131</f>
        <v>1129650457</v>
      </c>
      <c r="G127" s="630">
        <f t="shared" si="4"/>
        <v>0.76586516852768183</v>
      </c>
      <c r="H127" s="697"/>
      <c r="I127" s="619"/>
      <c r="J127" s="620"/>
      <c r="K127" s="620"/>
      <c r="L127" s="620"/>
      <c r="M127" s="647"/>
    </row>
    <row r="128" spans="1:13" s="47" customFormat="1">
      <c r="A128" s="142" t="s">
        <v>128</v>
      </c>
      <c r="B128" s="711" t="s">
        <v>626</v>
      </c>
      <c r="C128" s="712"/>
      <c r="D128" s="136">
        <f>D129+D130</f>
        <v>399598000</v>
      </c>
      <c r="E128" s="136">
        <f>E129+E130</f>
        <v>399598000</v>
      </c>
      <c r="F128" s="136">
        <f>F129+F130</f>
        <v>0</v>
      </c>
      <c r="G128" s="633">
        <f t="shared" si="4"/>
        <v>1</v>
      </c>
      <c r="H128" s="697"/>
      <c r="I128" s="619"/>
      <c r="J128" s="620"/>
      <c r="K128" s="620"/>
      <c r="L128" s="620"/>
      <c r="M128" s="647"/>
    </row>
    <row r="129" spans="1:13" s="62" customFormat="1" ht="55.15" customHeight="1">
      <c r="A129" s="641"/>
      <c r="B129" s="638"/>
      <c r="C129" s="713" t="s">
        <v>607</v>
      </c>
      <c r="D129" s="714">
        <v>2998000</v>
      </c>
      <c r="E129" s="703">
        <f>D129</f>
        <v>2998000</v>
      </c>
      <c r="F129" s="704">
        <f>D129-E129</f>
        <v>0</v>
      </c>
      <c r="G129" s="669">
        <f t="shared" si="4"/>
        <v>1</v>
      </c>
      <c r="H129" s="705"/>
      <c r="I129" s="619"/>
      <c r="J129" s="620"/>
      <c r="K129" s="620"/>
      <c r="L129" s="692"/>
      <c r="M129" s="642"/>
    </row>
    <row r="130" spans="1:13" s="62" customFormat="1" ht="30.6" customHeight="1">
      <c r="A130" s="671"/>
      <c r="B130" s="715"/>
      <c r="C130" s="716" t="s">
        <v>608</v>
      </c>
      <c r="D130" s="717">
        <v>396600000</v>
      </c>
      <c r="E130" s="718">
        <v>396600000</v>
      </c>
      <c r="F130" s="719">
        <f>D130-E130</f>
        <v>0</v>
      </c>
      <c r="G130" s="646">
        <f t="shared" si="4"/>
        <v>1</v>
      </c>
      <c r="H130" s="720"/>
      <c r="I130" s="619"/>
      <c r="J130" s="620"/>
      <c r="K130" s="620"/>
      <c r="L130" s="692"/>
      <c r="M130" s="642"/>
    </row>
    <row r="131" spans="1:13" ht="31.5">
      <c r="A131" s="139" t="s">
        <v>128</v>
      </c>
      <c r="B131" s="550" t="s">
        <v>627</v>
      </c>
      <c r="C131" s="519"/>
      <c r="D131" s="136">
        <f>D132+D133</f>
        <v>4425188000</v>
      </c>
      <c r="E131" s="136">
        <f>E132+E133</f>
        <v>3295537543</v>
      </c>
      <c r="F131" s="136">
        <f>F132+F133</f>
        <v>1129650457</v>
      </c>
      <c r="G131" s="633">
        <f t="shared" si="4"/>
        <v>0.74472260681354108</v>
      </c>
      <c r="H131" s="691"/>
      <c r="I131" s="619"/>
      <c r="J131" s="620"/>
      <c r="K131" s="620"/>
      <c r="L131" s="620"/>
    </row>
    <row r="132" spans="1:13" s="62" customFormat="1" ht="55.15" customHeight="1">
      <c r="A132" s="629"/>
      <c r="B132" s="213"/>
      <c r="C132" s="709" t="s">
        <v>602</v>
      </c>
      <c r="D132" s="721">
        <v>3653553000</v>
      </c>
      <c r="E132" s="701">
        <v>3295537543</v>
      </c>
      <c r="F132" s="174">
        <f>D132-E132</f>
        <v>358015457</v>
      </c>
      <c r="G132" s="633">
        <f t="shared" si="4"/>
        <v>0.90200896031890054</v>
      </c>
      <c r="H132" s="691" t="s">
        <v>628</v>
      </c>
      <c r="I132" s="619"/>
      <c r="J132" s="620"/>
      <c r="K132" s="620"/>
      <c r="L132" s="692"/>
      <c r="M132" s="642"/>
    </row>
    <row r="133" spans="1:13" s="62" customFormat="1" ht="42.6" customHeight="1">
      <c r="A133" s="629"/>
      <c r="B133" s="213"/>
      <c r="C133" s="722" t="s">
        <v>604</v>
      </c>
      <c r="D133" s="721">
        <v>771635000</v>
      </c>
      <c r="E133" s="701"/>
      <c r="F133" s="174">
        <f>D133-E133</f>
        <v>771635000</v>
      </c>
      <c r="G133" s="633">
        <f t="shared" si="4"/>
        <v>0</v>
      </c>
      <c r="H133" s="691"/>
      <c r="I133" s="619"/>
      <c r="J133" s="620"/>
      <c r="K133" s="620"/>
      <c r="L133" s="692"/>
      <c r="M133" s="642"/>
    </row>
    <row r="134" spans="1:13" hidden="1">
      <c r="A134" s="142" t="s">
        <v>562</v>
      </c>
      <c r="B134" s="628" t="s">
        <v>545</v>
      </c>
      <c r="C134" s="698"/>
      <c r="D134" s="699">
        <f>SUM(D135:D137)</f>
        <v>476419000</v>
      </c>
      <c r="E134" s="699">
        <f>SUM(E135:E137)</f>
        <v>476419000</v>
      </c>
      <c r="F134" s="699">
        <f>SUM(F135:F137)</f>
        <v>0</v>
      </c>
      <c r="G134" s="630">
        <f t="shared" si="4"/>
        <v>1</v>
      </c>
      <c r="H134" s="697"/>
      <c r="I134" s="619"/>
      <c r="J134" s="620"/>
      <c r="K134" s="620"/>
      <c r="L134" s="620"/>
    </row>
    <row r="135" spans="1:13" ht="85.9" hidden="1" customHeight="1">
      <c r="A135" s="139" t="s">
        <v>128</v>
      </c>
      <c r="B135" s="723" t="s">
        <v>566</v>
      </c>
      <c r="C135" s="724" t="s">
        <v>629</v>
      </c>
      <c r="D135" s="725">
        <v>247019000</v>
      </c>
      <c r="E135" s="725">
        <v>247019000</v>
      </c>
      <c r="F135" s="136">
        <f>D135-E135</f>
        <v>0</v>
      </c>
      <c r="G135" s="633">
        <f t="shared" si="4"/>
        <v>1</v>
      </c>
      <c r="H135" s="697"/>
      <c r="I135" s="619"/>
      <c r="J135" s="620"/>
      <c r="K135" s="620"/>
      <c r="L135" s="620"/>
    </row>
    <row r="136" spans="1:13" ht="37.9" hidden="1" customHeight="1">
      <c r="A136" s="139" t="s">
        <v>128</v>
      </c>
      <c r="B136" s="726" t="s">
        <v>552</v>
      </c>
      <c r="C136" s="726" t="s">
        <v>616</v>
      </c>
      <c r="D136" s="725">
        <v>121129000</v>
      </c>
      <c r="E136" s="725">
        <f>121128520+480</f>
        <v>121129000</v>
      </c>
      <c r="F136" s="136">
        <f>D136-E136</f>
        <v>0</v>
      </c>
      <c r="G136" s="633">
        <f t="shared" si="4"/>
        <v>1</v>
      </c>
      <c r="H136" s="697"/>
      <c r="I136" s="619"/>
      <c r="J136" s="620"/>
      <c r="K136" s="620"/>
      <c r="L136" s="620"/>
    </row>
    <row r="137" spans="1:13" ht="40.9" hidden="1" customHeight="1">
      <c r="A137" s="139" t="s">
        <v>128</v>
      </c>
      <c r="B137" s="215" t="s">
        <v>39</v>
      </c>
      <c r="C137" s="215" t="s">
        <v>630</v>
      </c>
      <c r="D137" s="725">
        <v>108271000</v>
      </c>
      <c r="E137" s="725">
        <v>108271000</v>
      </c>
      <c r="F137" s="136">
        <f>D137-E137</f>
        <v>0</v>
      </c>
      <c r="G137" s="633">
        <f t="shared" si="4"/>
        <v>1</v>
      </c>
      <c r="H137" s="697"/>
      <c r="I137" s="619"/>
      <c r="J137" s="620"/>
      <c r="K137" s="620"/>
      <c r="L137" s="620"/>
    </row>
    <row r="138" spans="1:13" s="47" customFormat="1" ht="31.5">
      <c r="A138" s="142" t="s">
        <v>437</v>
      </c>
      <c r="B138" s="628" t="s">
        <v>631</v>
      </c>
      <c r="C138" s="464"/>
      <c r="D138" s="699">
        <f>D139+D141</f>
        <v>2219376000</v>
      </c>
      <c r="E138" s="699">
        <f>E139+E141</f>
        <v>2219376000</v>
      </c>
      <c r="F138" s="699">
        <f>F139+F141</f>
        <v>0</v>
      </c>
      <c r="G138" s="630">
        <f t="shared" si="4"/>
        <v>1</v>
      </c>
      <c r="H138" s="634"/>
      <c r="I138" s="619"/>
      <c r="J138" s="620"/>
      <c r="K138" s="620"/>
      <c r="L138" s="657"/>
      <c r="M138" s="647"/>
    </row>
    <row r="139" spans="1:13" hidden="1">
      <c r="A139" s="142" t="s">
        <v>559</v>
      </c>
      <c r="B139" s="628" t="s">
        <v>542</v>
      </c>
      <c r="C139" s="698"/>
      <c r="D139" s="699">
        <f>D140</f>
        <v>805783000</v>
      </c>
      <c r="E139" s="699">
        <f>E140</f>
        <v>805783000</v>
      </c>
      <c r="F139" s="699">
        <f>F140</f>
        <v>0</v>
      </c>
      <c r="G139" s="630">
        <f t="shared" ref="G139:G202" si="7">+E139/D139</f>
        <v>1</v>
      </c>
      <c r="H139" s="697"/>
      <c r="I139" s="619"/>
      <c r="J139" s="620"/>
      <c r="K139" s="620"/>
      <c r="L139" s="620"/>
    </row>
    <row r="140" spans="1:13" ht="31.5" hidden="1">
      <c r="A140" s="139" t="s">
        <v>128</v>
      </c>
      <c r="B140" s="550" t="s">
        <v>627</v>
      </c>
      <c r="C140" s="698" t="s">
        <v>602</v>
      </c>
      <c r="D140" s="725">
        <v>805783000</v>
      </c>
      <c r="E140" s="725">
        <v>805783000</v>
      </c>
      <c r="F140" s="136">
        <f>D140-E140</f>
        <v>0</v>
      </c>
      <c r="G140" s="633">
        <f t="shared" si="7"/>
        <v>1</v>
      </c>
      <c r="H140" s="697" t="s">
        <v>254</v>
      </c>
      <c r="I140" s="619"/>
      <c r="J140" s="620"/>
      <c r="K140" s="620"/>
      <c r="L140" s="620"/>
    </row>
    <row r="141" spans="1:13" hidden="1">
      <c r="A141" s="142" t="s">
        <v>562</v>
      </c>
      <c r="B141" s="628" t="s">
        <v>545</v>
      </c>
      <c r="C141" s="698"/>
      <c r="D141" s="699">
        <f>SUM(D142:D144)</f>
        <v>1413593000</v>
      </c>
      <c r="E141" s="699">
        <f>SUM(E142:E144)</f>
        <v>1413593000</v>
      </c>
      <c r="F141" s="699">
        <f>SUM(F142:F144)</f>
        <v>0</v>
      </c>
      <c r="G141" s="630">
        <f t="shared" si="7"/>
        <v>1</v>
      </c>
      <c r="H141" s="697"/>
      <c r="I141" s="619"/>
      <c r="J141" s="620"/>
      <c r="K141" s="620"/>
      <c r="L141" s="620"/>
    </row>
    <row r="142" spans="1:13" hidden="1">
      <c r="A142" s="139" t="s">
        <v>128</v>
      </c>
      <c r="B142" s="215" t="s">
        <v>327</v>
      </c>
      <c r="C142" s="698" t="s">
        <v>612</v>
      </c>
      <c r="D142" s="725">
        <v>1219455000</v>
      </c>
      <c r="E142" s="725">
        <v>1219455000</v>
      </c>
      <c r="F142" s="136">
        <f>D142-E142</f>
        <v>0</v>
      </c>
      <c r="G142" s="633">
        <f t="shared" si="7"/>
        <v>1</v>
      </c>
      <c r="H142" s="697"/>
      <c r="I142" s="619"/>
      <c r="J142" s="620"/>
      <c r="K142" s="620"/>
      <c r="L142" s="692"/>
      <c r="M142" s="642"/>
    </row>
    <row r="143" spans="1:13" ht="27" hidden="1" customHeight="1">
      <c r="A143" s="139" t="s">
        <v>128</v>
      </c>
      <c r="B143" s="215" t="s">
        <v>632</v>
      </c>
      <c r="C143" s="698" t="s">
        <v>617</v>
      </c>
      <c r="D143" s="725">
        <v>94139000</v>
      </c>
      <c r="E143" s="725">
        <f>D143</f>
        <v>94139000</v>
      </c>
      <c r="F143" s="136">
        <f>D143-E143</f>
        <v>0</v>
      </c>
      <c r="G143" s="633">
        <f t="shared" si="7"/>
        <v>1</v>
      </c>
      <c r="H143" s="697"/>
      <c r="I143" s="619"/>
      <c r="J143" s="620"/>
      <c r="K143" s="620"/>
      <c r="L143" s="620"/>
    </row>
    <row r="144" spans="1:13" ht="36.75" hidden="1" customHeight="1">
      <c r="A144" s="139" t="s">
        <v>128</v>
      </c>
      <c r="B144" s="215" t="s">
        <v>112</v>
      </c>
      <c r="C144" s="698" t="s">
        <v>619</v>
      </c>
      <c r="D144" s="725">
        <v>99999000</v>
      </c>
      <c r="E144" s="725">
        <v>99999000</v>
      </c>
      <c r="F144" s="136">
        <f>D144-E144</f>
        <v>0</v>
      </c>
      <c r="G144" s="633">
        <f t="shared" si="7"/>
        <v>1</v>
      </c>
      <c r="H144" s="697"/>
      <c r="I144" s="619"/>
      <c r="J144" s="620"/>
      <c r="K144" s="620"/>
      <c r="L144" s="620"/>
      <c r="M144" s="642"/>
    </row>
    <row r="145" spans="1:13" s="47" customFormat="1" ht="31.5">
      <c r="A145" s="142" t="s">
        <v>633</v>
      </c>
      <c r="B145" s="628" t="s">
        <v>634</v>
      </c>
      <c r="C145" s="464"/>
      <c r="D145" s="699">
        <f>D146+D148</f>
        <v>119179490000</v>
      </c>
      <c r="E145" s="699">
        <f>E146+E148</f>
        <v>18100659857</v>
      </c>
      <c r="F145" s="699">
        <f>F146+F148</f>
        <v>101078830143</v>
      </c>
      <c r="G145" s="630">
        <f t="shared" si="7"/>
        <v>0.1518773058770431</v>
      </c>
      <c r="H145" s="634"/>
      <c r="I145" s="619"/>
      <c r="J145" s="620"/>
      <c r="K145" s="620"/>
      <c r="L145" s="657"/>
      <c r="M145" s="647"/>
    </row>
    <row r="146" spans="1:13" s="47" customFormat="1">
      <c r="A146" s="655">
        <v>1</v>
      </c>
      <c r="B146" s="656" t="s">
        <v>542</v>
      </c>
      <c r="C146" s="727"/>
      <c r="D146" s="728">
        <f>D147</f>
        <v>109393000000</v>
      </c>
      <c r="E146" s="728">
        <f>E147</f>
        <v>8314169857</v>
      </c>
      <c r="F146" s="728">
        <f>F147</f>
        <v>101078830143</v>
      </c>
      <c r="G146" s="640">
        <f t="shared" si="7"/>
        <v>7.6002759381313248E-2</v>
      </c>
      <c r="H146" s="729"/>
      <c r="I146" s="619"/>
      <c r="J146" s="620"/>
      <c r="K146" s="620"/>
      <c r="L146" s="657"/>
      <c r="M146" s="647"/>
    </row>
    <row r="147" spans="1:13" ht="127.9" customHeight="1">
      <c r="A147" s="643" t="s">
        <v>128</v>
      </c>
      <c r="B147" s="644" t="s">
        <v>49</v>
      </c>
      <c r="C147" s="644" t="s">
        <v>635</v>
      </c>
      <c r="D147" s="645">
        <v>109393000000</v>
      </c>
      <c r="E147" s="645">
        <v>8314169857</v>
      </c>
      <c r="F147" s="645">
        <f>D147-E147</f>
        <v>101078830143</v>
      </c>
      <c r="G147" s="646">
        <f t="shared" si="7"/>
        <v>7.6002759381313248E-2</v>
      </c>
      <c r="H147" s="730" t="s">
        <v>636</v>
      </c>
      <c r="I147" s="619"/>
      <c r="J147" s="620"/>
      <c r="K147" s="620"/>
      <c r="L147" s="620"/>
    </row>
    <row r="148" spans="1:13" s="47" customFormat="1">
      <c r="A148" s="142">
        <v>2</v>
      </c>
      <c r="B148" s="628" t="s">
        <v>545</v>
      </c>
      <c r="C148" s="628"/>
      <c r="D148" s="699">
        <f>D149</f>
        <v>9786490000</v>
      </c>
      <c r="E148" s="699">
        <f>E149</f>
        <v>9786490000</v>
      </c>
      <c r="F148" s="699">
        <f>F149</f>
        <v>0</v>
      </c>
      <c r="G148" s="630">
        <f t="shared" si="7"/>
        <v>1</v>
      </c>
      <c r="H148" s="634"/>
      <c r="I148" s="619"/>
      <c r="J148" s="620"/>
      <c r="K148" s="620"/>
      <c r="L148" s="657"/>
      <c r="M148" s="647"/>
    </row>
    <row r="149" spans="1:13" ht="179.45" hidden="1" customHeight="1">
      <c r="A149" s="139"/>
      <c r="B149" s="215" t="s">
        <v>637</v>
      </c>
      <c r="C149" s="215" t="s">
        <v>638</v>
      </c>
      <c r="D149" s="725">
        <v>9786490000</v>
      </c>
      <c r="E149" s="136">
        <v>9786490000</v>
      </c>
      <c r="F149" s="136">
        <f>D149-E149</f>
        <v>0</v>
      </c>
      <c r="G149" s="633">
        <f t="shared" si="7"/>
        <v>1</v>
      </c>
      <c r="H149" s="697"/>
      <c r="I149" s="619"/>
      <c r="J149" s="620"/>
      <c r="K149" s="620"/>
      <c r="L149" s="620"/>
    </row>
    <row r="150" spans="1:13">
      <c r="A150" s="1088" t="s">
        <v>639</v>
      </c>
      <c r="B150" s="1088"/>
      <c r="C150" s="1088"/>
      <c r="D150" s="731">
        <f>D151+D206</f>
        <v>2142758098919.9607</v>
      </c>
      <c r="E150" s="731">
        <f>E151+E206</f>
        <v>2119197342748.9607</v>
      </c>
      <c r="F150" s="731">
        <f>F151+F206</f>
        <v>23560756171</v>
      </c>
      <c r="G150" s="630">
        <f t="shared" si="7"/>
        <v>0.98900447223469812</v>
      </c>
      <c r="H150" s="629"/>
      <c r="I150" s="619"/>
      <c r="J150" s="620"/>
      <c r="K150" s="620"/>
      <c r="L150" s="620"/>
    </row>
    <row r="151" spans="1:13">
      <c r="A151" s="628" t="s">
        <v>4</v>
      </c>
      <c r="B151" s="628" t="s">
        <v>640</v>
      </c>
      <c r="C151" s="732"/>
      <c r="D151" s="699">
        <f>D152+D166+D170+D173+D179+D183+D185+D202</f>
        <v>2139872478185.9607</v>
      </c>
      <c r="E151" s="699">
        <f>E152+E166+E170+E173+E179+E183+E185+E202</f>
        <v>2116311722014.9607</v>
      </c>
      <c r="F151" s="699">
        <f>F152+F166+F170+F173+F179+F183+F185+F202</f>
        <v>23560756171</v>
      </c>
      <c r="G151" s="630">
        <f t="shared" si="7"/>
        <v>0.98898964475164741</v>
      </c>
      <c r="H151" s="139"/>
      <c r="I151" s="619"/>
      <c r="J151" s="620"/>
      <c r="K151" s="620"/>
      <c r="L151" s="620"/>
    </row>
    <row r="152" spans="1:13">
      <c r="A152" s="733" t="s">
        <v>6</v>
      </c>
      <c r="B152" s="734" t="s">
        <v>641</v>
      </c>
      <c r="C152" s="628"/>
      <c r="D152" s="699">
        <f>D153+D156+D157+D158</f>
        <v>627916818230</v>
      </c>
      <c r="E152" s="699">
        <f>E153+E156+E157+E158</f>
        <v>622367551108</v>
      </c>
      <c r="F152" s="699">
        <f>F153+F156+F157+F158</f>
        <v>5549267122</v>
      </c>
      <c r="G152" s="630">
        <f t="shared" si="7"/>
        <v>0.99116241680284578</v>
      </c>
      <c r="H152" s="629"/>
      <c r="I152" s="619"/>
      <c r="J152" s="620"/>
      <c r="K152" s="620"/>
      <c r="L152" s="620"/>
    </row>
    <row r="153" spans="1:13" s="47" customFormat="1" ht="31.5">
      <c r="A153" s="90">
        <v>1</v>
      </c>
      <c r="B153" s="735" t="s">
        <v>642</v>
      </c>
      <c r="C153" s="628"/>
      <c r="D153" s="699">
        <f>D154+D155</f>
        <v>518367000000</v>
      </c>
      <c r="E153" s="699">
        <f>E154+E155</f>
        <v>518367000000</v>
      </c>
      <c r="F153" s="699">
        <f>F154+F155</f>
        <v>0</v>
      </c>
      <c r="G153" s="630">
        <f t="shared" si="7"/>
        <v>1</v>
      </c>
      <c r="H153" s="629"/>
      <c r="I153" s="667"/>
      <c r="J153" s="620"/>
      <c r="K153" s="620"/>
      <c r="L153" s="620"/>
      <c r="M153" s="647"/>
    </row>
    <row r="154" spans="1:13" hidden="1">
      <c r="A154" s="23" t="s">
        <v>15</v>
      </c>
      <c r="B154" s="410" t="s">
        <v>474</v>
      </c>
      <c r="C154" s="215"/>
      <c r="D154" s="725">
        <f>'[4]Kien nghị khac 05'!C9</f>
        <v>143867000000</v>
      </c>
      <c r="E154" s="725">
        <f>'[4]Kien nghị khac 05'!F9</f>
        <v>143867000000</v>
      </c>
      <c r="F154" s="136">
        <f>D154-E154</f>
        <v>0</v>
      </c>
      <c r="G154" s="633">
        <f t="shared" si="7"/>
        <v>1</v>
      </c>
      <c r="H154" s="139"/>
      <c r="I154" s="736"/>
      <c r="J154" s="620"/>
      <c r="K154" s="620"/>
      <c r="L154" s="620"/>
    </row>
    <row r="155" spans="1:13" hidden="1">
      <c r="A155" s="23" t="s">
        <v>18</v>
      </c>
      <c r="B155" s="410" t="s">
        <v>643</v>
      </c>
      <c r="C155" s="215"/>
      <c r="D155" s="725">
        <f>'[4]Kien nghị khac 05'!C16</f>
        <v>374500000000</v>
      </c>
      <c r="E155" s="725">
        <f>'[4]Kien nghị khac 05'!F16</f>
        <v>374500000000</v>
      </c>
      <c r="F155" s="136">
        <f>D155-E155</f>
        <v>0</v>
      </c>
      <c r="G155" s="633">
        <f t="shared" si="7"/>
        <v>1</v>
      </c>
      <c r="H155" s="139"/>
      <c r="I155" s="736"/>
      <c r="J155" s="620"/>
      <c r="K155" s="620"/>
      <c r="L155" s="620"/>
    </row>
    <row r="156" spans="1:13" ht="74.25" customHeight="1">
      <c r="A156" s="142">
        <v>2</v>
      </c>
      <c r="B156" s="628" t="s">
        <v>644</v>
      </c>
      <c r="C156" s="215"/>
      <c r="D156" s="699">
        <f>'[4]Kien nghị khac 05'!C29</f>
        <v>7434000000</v>
      </c>
      <c r="E156" s="699">
        <f>'[4]Kien nghị khac 05'!F29</f>
        <v>4158500000</v>
      </c>
      <c r="F156" s="137">
        <f>D156-E156</f>
        <v>3275500000</v>
      </c>
      <c r="G156" s="630">
        <f t="shared" si="7"/>
        <v>0.55938929244013991</v>
      </c>
      <c r="H156" s="629" t="s">
        <v>645</v>
      </c>
      <c r="I156" s="667"/>
      <c r="J156" s="620"/>
      <c r="K156" s="620"/>
      <c r="L156" s="620"/>
    </row>
    <row r="157" spans="1:13" ht="63">
      <c r="A157" s="142">
        <v>3</v>
      </c>
      <c r="B157" s="628" t="s">
        <v>646</v>
      </c>
      <c r="C157" s="215"/>
      <c r="D157" s="699">
        <f>'[4]Kien nghị khac 05'!C30</f>
        <v>22281923936</v>
      </c>
      <c r="E157" s="699">
        <f>'[4]Kien nghị khac 05'!F30</f>
        <v>21221859826</v>
      </c>
      <c r="F157" s="137">
        <f>D157-E157</f>
        <v>1060064110</v>
      </c>
      <c r="G157" s="630">
        <f t="shared" si="7"/>
        <v>0.95242492914683652</v>
      </c>
      <c r="H157" s="629"/>
      <c r="I157" s="667"/>
      <c r="J157" s="620"/>
      <c r="K157" s="620"/>
      <c r="L157" s="620"/>
    </row>
    <row r="158" spans="1:13" ht="31.5">
      <c r="A158" s="655">
        <v>4</v>
      </c>
      <c r="B158" s="656" t="s">
        <v>647</v>
      </c>
      <c r="C158" s="486"/>
      <c r="D158" s="728">
        <f>SUM(D159:D165)</f>
        <v>79833894294</v>
      </c>
      <c r="E158" s="728">
        <f>SUM(E159:E165)</f>
        <v>78620191282</v>
      </c>
      <c r="F158" s="728">
        <f>SUM(F159:F165)</f>
        <v>1213703012</v>
      </c>
      <c r="G158" s="640">
        <f t="shared" si="7"/>
        <v>0.98479714634074644</v>
      </c>
      <c r="H158" s="651"/>
      <c r="I158" s="619"/>
      <c r="J158" s="620"/>
      <c r="K158" s="620"/>
      <c r="L158" s="620"/>
    </row>
    <row r="159" spans="1:13" ht="144" hidden="1" customHeight="1">
      <c r="A159" s="643" t="s">
        <v>370</v>
      </c>
      <c r="B159" s="548" t="s">
        <v>648</v>
      </c>
      <c r="C159" s="737" t="s">
        <v>649</v>
      </c>
      <c r="D159" s="738">
        <v>14000000000</v>
      </c>
      <c r="E159" s="738">
        <f>+'[4]Kien nghị khac 05'!F114</f>
        <v>14000000000</v>
      </c>
      <c r="F159" s="645">
        <f t="shared" ref="F159:F165" si="8">D159-E159</f>
        <v>0</v>
      </c>
      <c r="G159" s="646">
        <f t="shared" si="7"/>
        <v>1</v>
      </c>
      <c r="H159" s="644" t="s">
        <v>650</v>
      </c>
      <c r="I159" s="619"/>
      <c r="J159" s="620"/>
      <c r="K159" s="620"/>
      <c r="L159" s="620"/>
    </row>
    <row r="160" spans="1:13" ht="53.45" hidden="1" customHeight="1">
      <c r="A160" s="139" t="s">
        <v>373</v>
      </c>
      <c r="B160" s="739" t="s">
        <v>651</v>
      </c>
      <c r="C160" s="740" t="s">
        <v>652</v>
      </c>
      <c r="D160" s="725">
        <v>3888853661</v>
      </c>
      <c r="E160" s="725">
        <f>+'[4]Kien nghị khac 05'!F111</f>
        <v>3888853661</v>
      </c>
      <c r="F160" s="136">
        <f t="shared" si="8"/>
        <v>0</v>
      </c>
      <c r="G160" s="633">
        <f t="shared" si="7"/>
        <v>1</v>
      </c>
      <c r="H160" s="139"/>
      <c r="I160" s="619"/>
      <c r="J160" s="620"/>
      <c r="K160" s="620"/>
      <c r="L160" s="620"/>
    </row>
    <row r="161" spans="1:12" ht="175.9" customHeight="1">
      <c r="A161" s="139" t="s">
        <v>378</v>
      </c>
      <c r="B161" s="550" t="s">
        <v>99</v>
      </c>
      <c r="C161" s="562" t="s">
        <v>653</v>
      </c>
      <c r="D161" s="725">
        <f>1110000000+184000000</f>
        <v>1294000000</v>
      </c>
      <c r="E161" s="725">
        <f>+'[4]Kien nghị khac 05'!F113+'[4]Kien nghị khac 05'!F115</f>
        <v>1110000000</v>
      </c>
      <c r="F161" s="136">
        <f t="shared" si="8"/>
        <v>184000000</v>
      </c>
      <c r="G161" s="633">
        <f t="shared" si="7"/>
        <v>0.85780525502318394</v>
      </c>
      <c r="H161" s="139"/>
      <c r="I161" s="619"/>
      <c r="J161" s="620"/>
      <c r="K161" s="620"/>
      <c r="L161" s="620"/>
    </row>
    <row r="162" spans="1:12" ht="43.9" customHeight="1">
      <c r="A162" s="139" t="s">
        <v>654</v>
      </c>
      <c r="B162" s="215" t="s">
        <v>566</v>
      </c>
      <c r="C162" s="343" t="s">
        <v>655</v>
      </c>
      <c r="D162" s="725">
        <v>8725000000</v>
      </c>
      <c r="E162" s="725">
        <f>+'[4]Kien nghị khac 05'!F116</f>
        <v>8531199000</v>
      </c>
      <c r="F162" s="136">
        <f t="shared" si="8"/>
        <v>193801000</v>
      </c>
      <c r="G162" s="633">
        <f t="shared" si="7"/>
        <v>0.97778785100286536</v>
      </c>
      <c r="H162" s="139"/>
      <c r="I162" s="619"/>
      <c r="J162" s="620"/>
      <c r="K162" s="620"/>
      <c r="L162" s="620"/>
    </row>
    <row r="163" spans="1:12" ht="79.900000000000006" hidden="1" customHeight="1">
      <c r="A163" s="139" t="s">
        <v>656</v>
      </c>
      <c r="B163" s="119" t="s">
        <v>327</v>
      </c>
      <c r="C163" s="741" t="s">
        <v>657</v>
      </c>
      <c r="D163" s="725">
        <v>2360000000</v>
      </c>
      <c r="E163" s="725">
        <f>+'[4]Kien nghị khac 05'!F117</f>
        <v>2360000000</v>
      </c>
      <c r="F163" s="136">
        <f t="shared" si="8"/>
        <v>0</v>
      </c>
      <c r="G163" s="633">
        <f t="shared" si="7"/>
        <v>1</v>
      </c>
      <c r="H163" s="139"/>
      <c r="I163" s="619"/>
      <c r="J163" s="620"/>
      <c r="K163" s="620"/>
      <c r="L163" s="620"/>
    </row>
    <row r="164" spans="1:12" ht="68.45" hidden="1" customHeight="1">
      <c r="A164" s="651" t="s">
        <v>658</v>
      </c>
      <c r="B164" s="742" t="s">
        <v>112</v>
      </c>
      <c r="C164" s="743" t="s">
        <v>659</v>
      </c>
      <c r="D164" s="744">
        <v>2398621000</v>
      </c>
      <c r="E164" s="728">
        <f>+'[4]Kien nghị khac 05'!F122</f>
        <v>2398621000</v>
      </c>
      <c r="F164" s="668">
        <f t="shared" si="8"/>
        <v>0</v>
      </c>
      <c r="G164" s="669">
        <f t="shared" si="7"/>
        <v>1</v>
      </c>
      <c r="H164" s="651"/>
      <c r="I164" s="619"/>
      <c r="J164" s="620"/>
      <c r="K164" s="620"/>
      <c r="L164" s="620"/>
    </row>
    <row r="165" spans="1:12" ht="154.9" customHeight="1">
      <c r="A165" s="643" t="s">
        <v>660</v>
      </c>
      <c r="B165" s="745" t="s">
        <v>552</v>
      </c>
      <c r="C165" s="746" t="s">
        <v>661</v>
      </c>
      <c r="D165" s="738">
        <v>47167419633</v>
      </c>
      <c r="E165" s="738">
        <f>+'[4]Kien nghị khac 05'!F118</f>
        <v>46331517621</v>
      </c>
      <c r="F165" s="645">
        <f t="shared" si="8"/>
        <v>835902012</v>
      </c>
      <c r="G165" s="646">
        <f t="shared" si="7"/>
        <v>0.98227797877212741</v>
      </c>
      <c r="H165" s="643" t="s">
        <v>662</v>
      </c>
      <c r="I165" s="619"/>
      <c r="J165" s="620"/>
      <c r="K165" s="620"/>
      <c r="L165" s="620"/>
    </row>
    <row r="166" spans="1:12" ht="47.25">
      <c r="A166" s="142" t="s">
        <v>46</v>
      </c>
      <c r="B166" s="747" t="s">
        <v>663</v>
      </c>
      <c r="C166" s="215"/>
      <c r="D166" s="699">
        <f>SUM(D167:D169)</f>
        <v>8973383677.0000076</v>
      </c>
      <c r="E166" s="699">
        <f>SUM(E167:E169)</f>
        <v>6181661725.0000057</v>
      </c>
      <c r="F166" s="699">
        <f>SUM(F167:F169)</f>
        <v>2791721952.0000014</v>
      </c>
      <c r="G166" s="630">
        <f t="shared" si="7"/>
        <v>0.6888886007230961</v>
      </c>
      <c r="H166" s="139"/>
      <c r="I166" s="619"/>
      <c r="J166" s="620"/>
      <c r="K166" s="620"/>
      <c r="L166" s="620"/>
    </row>
    <row r="167" spans="1:12" ht="31.5">
      <c r="A167" s="139">
        <v>1</v>
      </c>
      <c r="B167" s="748" t="s">
        <v>664</v>
      </c>
      <c r="C167" s="698" t="s">
        <v>665</v>
      </c>
      <c r="D167" s="725">
        <f>'[4]Kien nghị khac 05'!C124</f>
        <v>6625888321.0000067</v>
      </c>
      <c r="E167" s="725">
        <f>+'[4]Kien nghị khac 05'!F124</f>
        <v>3834166369.0000052</v>
      </c>
      <c r="F167" s="136">
        <f>D167-E167</f>
        <v>2791721952.0000014</v>
      </c>
      <c r="G167" s="633">
        <f t="shared" si="7"/>
        <v>0.57866450251629609</v>
      </c>
      <c r="H167" s="749"/>
      <c r="I167" s="619"/>
      <c r="J167" s="620"/>
      <c r="K167" s="620"/>
      <c r="L167" s="620"/>
    </row>
    <row r="168" spans="1:12" ht="31.5" hidden="1">
      <c r="A168" s="23">
        <v>2</v>
      </c>
      <c r="B168" s="750" t="s">
        <v>49</v>
      </c>
      <c r="C168" s="698" t="s">
        <v>666</v>
      </c>
      <c r="D168" s="725">
        <f>'[4]Kien nghị khac 05'!C134</f>
        <v>1762115356</v>
      </c>
      <c r="E168" s="725">
        <f>+'[4]Kien nghị khac 05'!F134</f>
        <v>1762115356</v>
      </c>
      <c r="F168" s="136">
        <f>D168-E168</f>
        <v>0</v>
      </c>
      <c r="G168" s="633">
        <f t="shared" si="7"/>
        <v>1</v>
      </c>
      <c r="H168" s="749"/>
      <c r="I168" s="619"/>
      <c r="J168" s="620"/>
      <c r="K168" s="620"/>
      <c r="L168" s="620"/>
    </row>
    <row r="169" spans="1:12" ht="35.25" hidden="1" customHeight="1">
      <c r="A169" s="23">
        <v>3</v>
      </c>
      <c r="B169" s="410" t="s">
        <v>99</v>
      </c>
      <c r="C169" s="215" t="s">
        <v>667</v>
      </c>
      <c r="D169" s="725">
        <f>'[4]Kien nghị khac 05'!C152</f>
        <v>585380000</v>
      </c>
      <c r="E169" s="725">
        <f>+'[4]Kien nghị khac 05'!F152</f>
        <v>585380000</v>
      </c>
      <c r="F169" s="136">
        <f>D169-E169</f>
        <v>0</v>
      </c>
      <c r="G169" s="633">
        <f t="shared" si="7"/>
        <v>1</v>
      </c>
      <c r="H169" s="749"/>
      <c r="I169" s="619"/>
      <c r="J169" s="620"/>
      <c r="K169" s="620"/>
      <c r="L169" s="620"/>
    </row>
    <row r="170" spans="1:12" ht="31.5">
      <c r="A170" s="733" t="s">
        <v>71</v>
      </c>
      <c r="B170" s="734" t="s">
        <v>668</v>
      </c>
      <c r="C170" s="215"/>
      <c r="D170" s="699">
        <f>D171+D172</f>
        <v>279885025000</v>
      </c>
      <c r="E170" s="699">
        <f>E171+E172</f>
        <v>279885025000</v>
      </c>
      <c r="F170" s="699">
        <f>F171+F172</f>
        <v>0</v>
      </c>
      <c r="G170" s="630">
        <f t="shared" si="7"/>
        <v>1</v>
      </c>
      <c r="H170" s="749" t="s">
        <v>254</v>
      </c>
      <c r="I170" s="619"/>
      <c r="J170" s="620"/>
      <c r="K170" s="620"/>
      <c r="L170" s="620"/>
    </row>
    <row r="171" spans="1:12" hidden="1">
      <c r="A171" s="139">
        <v>1</v>
      </c>
      <c r="B171" s="119" t="s">
        <v>39</v>
      </c>
      <c r="C171" s="215"/>
      <c r="D171" s="254">
        <f>5741030500-2447005500</f>
        <v>3294025000</v>
      </c>
      <c r="E171" s="725">
        <f>D171</f>
        <v>3294025000</v>
      </c>
      <c r="F171" s="136">
        <f>D171-E171</f>
        <v>0</v>
      </c>
      <c r="G171" s="633">
        <f t="shared" si="7"/>
        <v>1</v>
      </c>
      <c r="H171" s="749"/>
      <c r="I171" s="619"/>
      <c r="J171" s="620"/>
      <c r="K171" s="620"/>
      <c r="L171" s="620"/>
    </row>
    <row r="172" spans="1:12" hidden="1">
      <c r="A172" s="139">
        <v>2</v>
      </c>
      <c r="B172" s="119" t="s">
        <v>327</v>
      </c>
      <c r="C172" s="215"/>
      <c r="D172" s="751">
        <v>276591000000</v>
      </c>
      <c r="E172" s="725">
        <f>D172</f>
        <v>276591000000</v>
      </c>
      <c r="F172" s="136">
        <f>D172-E172</f>
        <v>0</v>
      </c>
      <c r="G172" s="633">
        <f t="shared" si="7"/>
        <v>1</v>
      </c>
      <c r="H172" s="749"/>
      <c r="I172" s="619"/>
      <c r="J172" s="620"/>
      <c r="K172" s="620"/>
      <c r="L172" s="620"/>
    </row>
    <row r="173" spans="1:12" ht="31.5">
      <c r="A173" s="733" t="s">
        <v>270</v>
      </c>
      <c r="B173" s="734" t="s">
        <v>669</v>
      </c>
      <c r="C173" s="215"/>
      <c r="D173" s="699">
        <f>SUM(D174:D178)</f>
        <v>35046387180</v>
      </c>
      <c r="E173" s="699">
        <f>SUM(E174:E178)</f>
        <v>35046387180</v>
      </c>
      <c r="F173" s="699">
        <f>SUM(F174:F178)</f>
        <v>0</v>
      </c>
      <c r="G173" s="630">
        <f t="shared" si="7"/>
        <v>1</v>
      </c>
      <c r="H173" s="749" t="s">
        <v>254</v>
      </c>
      <c r="I173" s="619"/>
      <c r="J173" s="620"/>
      <c r="K173" s="620"/>
      <c r="L173" s="620"/>
    </row>
    <row r="174" spans="1:12" hidden="1">
      <c r="A174" s="477">
        <v>1</v>
      </c>
      <c r="B174" s="119" t="s">
        <v>327</v>
      </c>
      <c r="C174" s="215"/>
      <c r="D174" s="725">
        <v>19527033130</v>
      </c>
      <c r="E174" s="725">
        <f>D174</f>
        <v>19527033130</v>
      </c>
      <c r="F174" s="136">
        <f>D174-E174</f>
        <v>0</v>
      </c>
      <c r="G174" s="633">
        <f t="shared" si="7"/>
        <v>1</v>
      </c>
      <c r="H174" s="749"/>
      <c r="I174" s="619"/>
      <c r="J174" s="620"/>
      <c r="K174" s="620"/>
      <c r="L174" s="620"/>
    </row>
    <row r="175" spans="1:12" hidden="1">
      <c r="A175" s="477">
        <v>2</v>
      </c>
      <c r="B175" s="739" t="s">
        <v>56</v>
      </c>
      <c r="C175" s="215"/>
      <c r="D175" s="725">
        <v>6188373905</v>
      </c>
      <c r="E175" s="725">
        <f>D175</f>
        <v>6188373905</v>
      </c>
      <c r="F175" s="136">
        <f>D175-E175</f>
        <v>0</v>
      </c>
      <c r="G175" s="633">
        <f t="shared" si="7"/>
        <v>1</v>
      </c>
      <c r="H175" s="139"/>
      <c r="I175" s="619"/>
      <c r="J175" s="620"/>
      <c r="K175" s="620"/>
      <c r="L175" s="620"/>
    </row>
    <row r="176" spans="1:12" hidden="1">
      <c r="A176" s="477">
        <v>3</v>
      </c>
      <c r="B176" s="739" t="s">
        <v>332</v>
      </c>
      <c r="C176" s="215"/>
      <c r="D176" s="725">
        <v>4577980145</v>
      </c>
      <c r="E176" s="725">
        <f>D176</f>
        <v>4577980145</v>
      </c>
      <c r="F176" s="136">
        <f>D176-E176</f>
        <v>0</v>
      </c>
      <c r="G176" s="633">
        <f t="shared" si="7"/>
        <v>1</v>
      </c>
      <c r="H176" s="139"/>
      <c r="I176" s="619"/>
      <c r="J176" s="620"/>
      <c r="K176" s="620"/>
      <c r="L176" s="620"/>
    </row>
    <row r="177" spans="1:13" hidden="1">
      <c r="A177" s="477">
        <v>4</v>
      </c>
      <c r="B177" s="739" t="s">
        <v>670</v>
      </c>
      <c r="C177" s="652"/>
      <c r="D177" s="725">
        <v>4706000000</v>
      </c>
      <c r="E177" s="725">
        <f>D177</f>
        <v>4706000000</v>
      </c>
      <c r="F177" s="136">
        <f>D177-E177</f>
        <v>0</v>
      </c>
      <c r="G177" s="633">
        <f t="shared" si="7"/>
        <v>1</v>
      </c>
      <c r="H177" s="139"/>
      <c r="I177" s="619"/>
      <c r="J177" s="620"/>
      <c r="K177" s="620"/>
      <c r="L177" s="620"/>
    </row>
    <row r="178" spans="1:13" ht="31.5" hidden="1">
      <c r="A178" s="477">
        <v>5</v>
      </c>
      <c r="B178" s="215" t="s">
        <v>671</v>
      </c>
      <c r="C178" s="652"/>
      <c r="D178" s="725">
        <v>47000000</v>
      </c>
      <c r="E178" s="725">
        <f>D178</f>
        <v>47000000</v>
      </c>
      <c r="F178" s="136">
        <f>D178-E178</f>
        <v>0</v>
      </c>
      <c r="G178" s="633">
        <f t="shared" si="7"/>
        <v>1</v>
      </c>
      <c r="H178" s="139"/>
      <c r="I178" s="619"/>
      <c r="J178" s="620"/>
      <c r="K178" s="620"/>
      <c r="L178" s="620"/>
    </row>
    <row r="179" spans="1:13" ht="47.25">
      <c r="A179" s="733" t="s">
        <v>272</v>
      </c>
      <c r="B179" s="734" t="s">
        <v>672</v>
      </c>
      <c r="C179" s="652"/>
      <c r="D179" s="699">
        <v>0</v>
      </c>
      <c r="E179" s="699">
        <v>0</v>
      </c>
      <c r="F179" s="137">
        <v>0</v>
      </c>
      <c r="G179" s="633"/>
      <c r="H179" s="749" t="s">
        <v>254</v>
      </c>
      <c r="I179" s="619"/>
      <c r="J179" s="620"/>
      <c r="K179" s="620"/>
      <c r="L179" s="620"/>
    </row>
    <row r="180" spans="1:13" hidden="1">
      <c r="A180" s="752" t="s">
        <v>673</v>
      </c>
      <c r="B180" s="753" t="s">
        <v>674</v>
      </c>
      <c r="C180" s="652"/>
      <c r="D180" s="725">
        <v>-394400116</v>
      </c>
      <c r="E180" s="725">
        <f>D180</f>
        <v>-394400116</v>
      </c>
      <c r="F180" s="136">
        <f>D180-E180</f>
        <v>0</v>
      </c>
      <c r="G180" s="633">
        <f t="shared" si="7"/>
        <v>1</v>
      </c>
      <c r="H180" s="139" t="s">
        <v>675</v>
      </c>
      <c r="I180" s="619"/>
      <c r="J180" s="620"/>
      <c r="K180" s="620"/>
      <c r="L180" s="620"/>
    </row>
    <row r="181" spans="1:13" hidden="1">
      <c r="A181" s="477">
        <v>2</v>
      </c>
      <c r="B181" s="753" t="s">
        <v>676</v>
      </c>
      <c r="C181" s="652"/>
      <c r="D181" s="725">
        <v>6526089101</v>
      </c>
      <c r="E181" s="725">
        <f>D181</f>
        <v>6526089101</v>
      </c>
      <c r="F181" s="136">
        <f>D181-E181</f>
        <v>0</v>
      </c>
      <c r="G181" s="633">
        <f t="shared" si="7"/>
        <v>1</v>
      </c>
      <c r="H181" s="139" t="s">
        <v>675</v>
      </c>
      <c r="I181" s="619"/>
      <c r="J181" s="620"/>
      <c r="K181" s="620"/>
      <c r="L181" s="620"/>
    </row>
    <row r="182" spans="1:13" hidden="1">
      <c r="A182" s="477">
        <v>3</v>
      </c>
      <c r="B182" s="753" t="s">
        <v>677</v>
      </c>
      <c r="C182" s="652"/>
      <c r="D182" s="725">
        <v>-6131688985</v>
      </c>
      <c r="E182" s="725">
        <f>D182</f>
        <v>-6131688985</v>
      </c>
      <c r="F182" s="136">
        <f>D182-E182</f>
        <v>0</v>
      </c>
      <c r="G182" s="633">
        <f t="shared" si="7"/>
        <v>1</v>
      </c>
      <c r="H182" s="139" t="s">
        <v>675</v>
      </c>
      <c r="I182" s="619"/>
      <c r="J182" s="620"/>
      <c r="K182" s="620"/>
      <c r="L182" s="620"/>
    </row>
    <row r="183" spans="1:13">
      <c r="A183" s="733" t="s">
        <v>426</v>
      </c>
      <c r="B183" s="734" t="s">
        <v>678</v>
      </c>
      <c r="C183" s="652"/>
      <c r="D183" s="699">
        <f>D184</f>
        <v>1165297638</v>
      </c>
      <c r="E183" s="699">
        <f>E184</f>
        <v>1165297638</v>
      </c>
      <c r="F183" s="699">
        <f>F184</f>
        <v>0</v>
      </c>
      <c r="G183" s="630">
        <f t="shared" si="7"/>
        <v>1</v>
      </c>
      <c r="H183" s="749" t="s">
        <v>254</v>
      </c>
      <c r="I183" s="619"/>
      <c r="J183" s="620"/>
      <c r="K183" s="620"/>
      <c r="L183" s="620"/>
    </row>
    <row r="184" spans="1:13" ht="81.599999999999994" hidden="1" customHeight="1">
      <c r="A184" s="754">
        <v>1</v>
      </c>
      <c r="B184" s="742" t="s">
        <v>39</v>
      </c>
      <c r="C184" s="755" t="s">
        <v>679</v>
      </c>
      <c r="D184" s="744">
        <v>1165297638</v>
      </c>
      <c r="E184" s="744">
        <f>D184</f>
        <v>1165297638</v>
      </c>
      <c r="F184" s="668">
        <f>D184-E184</f>
        <v>0</v>
      </c>
      <c r="G184" s="669">
        <f t="shared" si="7"/>
        <v>1</v>
      </c>
      <c r="H184" s="651"/>
      <c r="I184" s="619"/>
      <c r="J184" s="620"/>
      <c r="K184" s="620"/>
      <c r="L184" s="620"/>
    </row>
    <row r="185" spans="1:13">
      <c r="A185" s="756" t="s">
        <v>437</v>
      </c>
      <c r="B185" s="757" t="s">
        <v>680</v>
      </c>
      <c r="C185" s="730"/>
      <c r="D185" s="707">
        <f>SUM(D186:D188)</f>
        <v>1162562388124</v>
      </c>
      <c r="E185" s="707">
        <f>SUM(E186:E188)</f>
        <v>1162562388124</v>
      </c>
      <c r="F185" s="707">
        <f>SUM(F186:F188)</f>
        <v>0</v>
      </c>
      <c r="G185" s="659">
        <f t="shared" si="7"/>
        <v>1</v>
      </c>
      <c r="H185" s="643"/>
      <c r="I185" s="619"/>
      <c r="J185" s="620"/>
      <c r="K185" s="620"/>
      <c r="L185" s="620"/>
    </row>
    <row r="186" spans="1:13" s="47" customFormat="1" ht="47.25" hidden="1">
      <c r="A186" s="153">
        <v>1</v>
      </c>
      <c r="B186" s="121" t="s">
        <v>681</v>
      </c>
      <c r="C186" s="758"/>
      <c r="D186" s="699">
        <v>1060283000000</v>
      </c>
      <c r="E186" s="699">
        <v>1060283000000</v>
      </c>
      <c r="F186" s="137">
        <f>D186-E186</f>
        <v>0</v>
      </c>
      <c r="G186" s="630">
        <f t="shared" si="7"/>
        <v>1</v>
      </c>
      <c r="H186" s="142"/>
      <c r="I186" s="619"/>
      <c r="J186" s="620"/>
      <c r="K186" s="620"/>
      <c r="L186" s="657"/>
      <c r="M186" s="647"/>
    </row>
    <row r="187" spans="1:13" s="47" customFormat="1" ht="87" hidden="1" customHeight="1">
      <c r="A187" s="153">
        <v>2</v>
      </c>
      <c r="B187" s="121" t="s">
        <v>505</v>
      </c>
      <c r="C187" s="119" t="s">
        <v>682</v>
      </c>
      <c r="D187" s="699">
        <v>34355000000</v>
      </c>
      <c r="E187" s="699">
        <v>34355000000</v>
      </c>
      <c r="F187" s="137">
        <f>D187-E187</f>
        <v>0</v>
      </c>
      <c r="G187" s="630">
        <f t="shared" si="7"/>
        <v>1</v>
      </c>
      <c r="H187" s="139" t="s">
        <v>683</v>
      </c>
      <c r="I187" s="619"/>
      <c r="J187" s="620"/>
      <c r="K187" s="620"/>
      <c r="L187" s="657"/>
      <c r="M187" s="647"/>
    </row>
    <row r="188" spans="1:13" s="47" customFormat="1" hidden="1">
      <c r="A188" s="142">
        <v>3</v>
      </c>
      <c r="B188" s="628" t="s">
        <v>684</v>
      </c>
      <c r="C188" s="758"/>
      <c r="D188" s="699">
        <f>SUM(D189:D201)</f>
        <v>67924388124</v>
      </c>
      <c r="E188" s="699">
        <f>SUM(E189:E201)</f>
        <v>67924388124</v>
      </c>
      <c r="F188" s="699">
        <f>SUM(F189:F201)</f>
        <v>0</v>
      </c>
      <c r="G188" s="630">
        <f t="shared" si="7"/>
        <v>1</v>
      </c>
      <c r="H188" s="142"/>
      <c r="I188" s="619"/>
      <c r="J188" s="620"/>
      <c r="K188" s="620"/>
      <c r="L188" s="657"/>
      <c r="M188" s="647"/>
    </row>
    <row r="189" spans="1:13" ht="68.45" hidden="1" customHeight="1">
      <c r="A189" s="139" t="s">
        <v>36</v>
      </c>
      <c r="B189" s="119" t="s">
        <v>327</v>
      </c>
      <c r="C189" s="343" t="s">
        <v>685</v>
      </c>
      <c r="D189" s="725">
        <v>8478000000</v>
      </c>
      <c r="E189" s="725">
        <v>8478000000</v>
      </c>
      <c r="F189" s="136">
        <f t="shared" ref="F189:F201" si="9">D189-E189</f>
        <v>0</v>
      </c>
      <c r="G189" s="633">
        <f t="shared" si="7"/>
        <v>1</v>
      </c>
      <c r="H189" s="139"/>
      <c r="I189" s="619"/>
      <c r="J189" s="620"/>
      <c r="K189" s="620"/>
      <c r="L189" s="620"/>
    </row>
    <row r="190" spans="1:13" ht="62.45" hidden="1" customHeight="1">
      <c r="A190" s="139" t="s">
        <v>166</v>
      </c>
      <c r="B190" s="119" t="s">
        <v>552</v>
      </c>
      <c r="C190" s="343" t="s">
        <v>686</v>
      </c>
      <c r="D190" s="725">
        <v>7256500000</v>
      </c>
      <c r="E190" s="725">
        <v>7256500000</v>
      </c>
      <c r="F190" s="136">
        <f t="shared" si="9"/>
        <v>0</v>
      </c>
      <c r="G190" s="633">
        <f t="shared" si="7"/>
        <v>1</v>
      </c>
      <c r="H190" s="139"/>
      <c r="I190" s="619"/>
      <c r="J190" s="620"/>
      <c r="K190" s="620"/>
      <c r="L190" s="620"/>
    </row>
    <row r="191" spans="1:13" ht="63" hidden="1" customHeight="1">
      <c r="A191" s="139" t="s">
        <v>168</v>
      </c>
      <c r="B191" s="119" t="s">
        <v>112</v>
      </c>
      <c r="C191" s="343" t="s">
        <v>687</v>
      </c>
      <c r="D191" s="725">
        <v>5867000000</v>
      </c>
      <c r="E191" s="725">
        <v>5867000000</v>
      </c>
      <c r="F191" s="136">
        <f t="shared" si="9"/>
        <v>0</v>
      </c>
      <c r="G191" s="633">
        <f t="shared" si="7"/>
        <v>1</v>
      </c>
      <c r="H191" s="139"/>
      <c r="I191" s="619"/>
      <c r="J191" s="620"/>
      <c r="K191" s="620"/>
      <c r="L191" s="620"/>
    </row>
    <row r="192" spans="1:13" s="47" customFormat="1" ht="64.150000000000006" hidden="1" customHeight="1">
      <c r="A192" s="139" t="s">
        <v>688</v>
      </c>
      <c r="B192" s="119" t="s">
        <v>566</v>
      </c>
      <c r="C192" s="759" t="s">
        <v>689</v>
      </c>
      <c r="D192" s="725">
        <v>5548000000</v>
      </c>
      <c r="E192" s="725">
        <v>5548000000</v>
      </c>
      <c r="F192" s="136">
        <f t="shared" si="9"/>
        <v>0</v>
      </c>
      <c r="G192" s="633">
        <f t="shared" si="7"/>
        <v>1</v>
      </c>
      <c r="H192" s="142"/>
      <c r="I192" s="619"/>
      <c r="J192" s="620"/>
      <c r="K192" s="620"/>
      <c r="L192" s="620"/>
      <c r="M192" s="647"/>
    </row>
    <row r="193" spans="1:13" ht="61.9" hidden="1" customHeight="1">
      <c r="A193" s="139" t="s">
        <v>690</v>
      </c>
      <c r="B193" s="760" t="s">
        <v>691</v>
      </c>
      <c r="C193" s="759" t="s">
        <v>692</v>
      </c>
      <c r="D193" s="725">
        <v>1996000000</v>
      </c>
      <c r="E193" s="725">
        <f>1929000000+67000000</f>
        <v>1996000000</v>
      </c>
      <c r="F193" s="136">
        <f t="shared" si="9"/>
        <v>0</v>
      </c>
      <c r="G193" s="633">
        <f t="shared" si="7"/>
        <v>1</v>
      </c>
      <c r="H193" s="139"/>
      <c r="I193" s="619"/>
      <c r="J193" s="620"/>
      <c r="K193" s="620"/>
      <c r="L193" s="620"/>
    </row>
    <row r="194" spans="1:13" ht="48.6" hidden="1" customHeight="1">
      <c r="A194" s="139" t="s">
        <v>693</v>
      </c>
      <c r="B194" s="550" t="s">
        <v>694</v>
      </c>
      <c r="C194" s="759" t="s">
        <v>695</v>
      </c>
      <c r="D194" s="725">
        <v>15262000000</v>
      </c>
      <c r="E194" s="725">
        <v>15262000000</v>
      </c>
      <c r="F194" s="136">
        <f t="shared" si="9"/>
        <v>0</v>
      </c>
      <c r="G194" s="633">
        <f t="shared" si="7"/>
        <v>1</v>
      </c>
      <c r="H194" s="139"/>
      <c r="I194" s="619"/>
      <c r="J194" s="620"/>
      <c r="K194" s="620"/>
      <c r="L194" s="620"/>
    </row>
    <row r="195" spans="1:13" ht="60" hidden="1" customHeight="1">
      <c r="A195" s="651" t="s">
        <v>696</v>
      </c>
      <c r="B195" s="538" t="s">
        <v>697</v>
      </c>
      <c r="C195" s="761" t="s">
        <v>698</v>
      </c>
      <c r="D195" s="744">
        <v>18861888124</v>
      </c>
      <c r="E195" s="744">
        <v>18861888124</v>
      </c>
      <c r="F195" s="668">
        <f t="shared" si="9"/>
        <v>0</v>
      </c>
      <c r="G195" s="669">
        <f t="shared" si="7"/>
        <v>1</v>
      </c>
      <c r="H195" s="651"/>
      <c r="I195" s="619"/>
      <c r="J195" s="620"/>
      <c r="K195" s="620"/>
      <c r="L195" s="620"/>
    </row>
    <row r="196" spans="1:13" ht="66" hidden="1" customHeight="1">
      <c r="A196" s="643" t="s">
        <v>699</v>
      </c>
      <c r="B196" s="548" t="s">
        <v>700</v>
      </c>
      <c r="C196" s="762" t="s">
        <v>698</v>
      </c>
      <c r="D196" s="738">
        <v>940000000</v>
      </c>
      <c r="E196" s="738">
        <v>940000000</v>
      </c>
      <c r="F196" s="645">
        <f t="shared" si="9"/>
        <v>0</v>
      </c>
      <c r="G196" s="646">
        <f t="shared" si="7"/>
        <v>1</v>
      </c>
      <c r="H196" s="643"/>
      <c r="I196" s="619"/>
      <c r="J196" s="620"/>
      <c r="K196" s="620"/>
      <c r="L196" s="620"/>
    </row>
    <row r="197" spans="1:13" ht="47.25" hidden="1">
      <c r="A197" s="139" t="s">
        <v>701</v>
      </c>
      <c r="B197" s="550" t="s">
        <v>702</v>
      </c>
      <c r="C197" s="759" t="s">
        <v>703</v>
      </c>
      <c r="D197" s="725">
        <v>1122000000</v>
      </c>
      <c r="E197" s="725">
        <v>1122000000</v>
      </c>
      <c r="F197" s="136">
        <f t="shared" si="9"/>
        <v>0</v>
      </c>
      <c r="G197" s="633">
        <f t="shared" si="7"/>
        <v>1</v>
      </c>
      <c r="H197" s="139"/>
      <c r="I197" s="619"/>
      <c r="J197" s="620"/>
      <c r="K197" s="620"/>
      <c r="L197" s="620"/>
    </row>
    <row r="198" spans="1:13" ht="30" hidden="1" customHeight="1">
      <c r="A198" s="139" t="s">
        <v>704</v>
      </c>
      <c r="B198" s="550" t="s">
        <v>705</v>
      </c>
      <c r="C198" s="759" t="s">
        <v>706</v>
      </c>
      <c r="D198" s="725">
        <v>527000000</v>
      </c>
      <c r="E198" s="725">
        <v>527000000</v>
      </c>
      <c r="F198" s="136">
        <f t="shared" si="9"/>
        <v>0</v>
      </c>
      <c r="G198" s="633">
        <f t="shared" si="7"/>
        <v>1</v>
      </c>
      <c r="H198" s="139"/>
      <c r="I198" s="619"/>
      <c r="J198" s="620"/>
      <c r="K198" s="620"/>
      <c r="L198" s="620"/>
    </row>
    <row r="199" spans="1:13" ht="33" hidden="1" customHeight="1">
      <c r="A199" s="139" t="s">
        <v>707</v>
      </c>
      <c r="B199" s="550" t="s">
        <v>708</v>
      </c>
      <c r="C199" s="759" t="s">
        <v>706</v>
      </c>
      <c r="D199" s="725">
        <v>86000000</v>
      </c>
      <c r="E199" s="725">
        <v>86000000</v>
      </c>
      <c r="F199" s="136">
        <f t="shared" si="9"/>
        <v>0</v>
      </c>
      <c r="G199" s="633">
        <f t="shared" si="7"/>
        <v>1</v>
      </c>
      <c r="H199" s="139"/>
      <c r="I199" s="619"/>
      <c r="J199" s="620"/>
      <c r="K199" s="620"/>
      <c r="L199" s="620"/>
    </row>
    <row r="200" spans="1:13" ht="66" hidden="1" customHeight="1">
      <c r="A200" s="139" t="s">
        <v>709</v>
      </c>
      <c r="B200" s="550" t="s">
        <v>710</v>
      </c>
      <c r="C200" s="759" t="s">
        <v>711</v>
      </c>
      <c r="D200" s="725">
        <v>1903000000</v>
      </c>
      <c r="E200" s="725">
        <f>931000000+972000000</f>
        <v>1903000000</v>
      </c>
      <c r="F200" s="136">
        <f t="shared" si="9"/>
        <v>0</v>
      </c>
      <c r="G200" s="633">
        <f t="shared" si="7"/>
        <v>1</v>
      </c>
      <c r="H200" s="139"/>
      <c r="I200" s="619"/>
      <c r="J200" s="620"/>
      <c r="K200" s="620"/>
      <c r="L200" s="620"/>
    </row>
    <row r="201" spans="1:13" ht="30" hidden="1" customHeight="1">
      <c r="A201" s="139" t="s">
        <v>712</v>
      </c>
      <c r="B201" s="550" t="s">
        <v>713</v>
      </c>
      <c r="C201" s="759" t="s">
        <v>706</v>
      </c>
      <c r="D201" s="725">
        <v>77000000</v>
      </c>
      <c r="E201" s="725">
        <v>77000000</v>
      </c>
      <c r="F201" s="136">
        <f t="shared" si="9"/>
        <v>0</v>
      </c>
      <c r="G201" s="633">
        <f t="shared" si="7"/>
        <v>1</v>
      </c>
      <c r="H201" s="139"/>
      <c r="I201" s="619"/>
      <c r="J201" s="620"/>
      <c r="K201" s="620"/>
      <c r="L201" s="620"/>
    </row>
    <row r="202" spans="1:13" s="47" customFormat="1">
      <c r="A202" s="153" t="s">
        <v>633</v>
      </c>
      <c r="B202" s="121" t="s">
        <v>714</v>
      </c>
      <c r="C202" s="758"/>
      <c r="D202" s="699">
        <f>SUM(D203:D205)</f>
        <v>24323178336.960667</v>
      </c>
      <c r="E202" s="699">
        <f>SUM(E203:E205)</f>
        <v>9103411239.9606667</v>
      </c>
      <c r="F202" s="699">
        <f>SUM(F203:F205)</f>
        <v>15219767097</v>
      </c>
      <c r="G202" s="630">
        <f t="shared" si="7"/>
        <v>0.37426898384112228</v>
      </c>
      <c r="H202" s="142"/>
      <c r="I202" s="619"/>
      <c r="J202" s="620"/>
      <c r="K202" s="620"/>
      <c r="L202" s="657"/>
      <c r="M202" s="647"/>
    </row>
    <row r="203" spans="1:13" ht="192.75" customHeight="1">
      <c r="A203" s="139">
        <v>1</v>
      </c>
      <c r="B203" s="739" t="s">
        <v>715</v>
      </c>
      <c r="C203" s="432" t="s">
        <v>716</v>
      </c>
      <c r="D203" s="725">
        <v>15219767097</v>
      </c>
      <c r="E203" s="725"/>
      <c r="F203" s="136">
        <f>D203-E203</f>
        <v>15219767097</v>
      </c>
      <c r="G203" s="633">
        <f t="shared" ref="G203:G256" si="10">+E203/D203</f>
        <v>0</v>
      </c>
      <c r="H203" s="119" t="s">
        <v>717</v>
      </c>
      <c r="I203" s="619"/>
      <c r="J203" s="620"/>
      <c r="K203" s="620"/>
      <c r="L203" s="620"/>
    </row>
    <row r="204" spans="1:13" ht="126" customHeight="1">
      <c r="A204" s="651">
        <v>2</v>
      </c>
      <c r="B204" s="486" t="s">
        <v>718</v>
      </c>
      <c r="C204" s="484" t="s">
        <v>719</v>
      </c>
      <c r="D204" s="744">
        <v>1403610793</v>
      </c>
      <c r="E204" s="744">
        <v>1403610793</v>
      </c>
      <c r="F204" s="668">
        <f>D204-E204</f>
        <v>0</v>
      </c>
      <c r="G204" s="669">
        <f t="shared" si="10"/>
        <v>1</v>
      </c>
      <c r="H204" s="651"/>
      <c r="I204" s="619"/>
      <c r="J204" s="620"/>
      <c r="K204" s="620"/>
      <c r="L204" s="620"/>
    </row>
    <row r="205" spans="1:13" ht="153" hidden="1" customHeight="1">
      <c r="A205" s="643">
        <v>3</v>
      </c>
      <c r="B205" s="763" t="s">
        <v>720</v>
      </c>
      <c r="C205" s="730" t="s">
        <v>721</v>
      </c>
      <c r="D205" s="738">
        <v>7699800446.9606657</v>
      </c>
      <c r="E205" s="738">
        <v>7699800446.9606657</v>
      </c>
      <c r="F205" s="645">
        <f>D205-E205</f>
        <v>0</v>
      </c>
      <c r="G205" s="646">
        <f t="shared" si="10"/>
        <v>1</v>
      </c>
      <c r="H205" s="643" t="s">
        <v>722</v>
      </c>
      <c r="I205" s="619"/>
      <c r="J205" s="620"/>
      <c r="K205" s="620"/>
      <c r="L205" s="620"/>
    </row>
    <row r="206" spans="1:13" s="47" customFormat="1">
      <c r="A206" s="142" t="s">
        <v>90</v>
      </c>
      <c r="B206" s="628" t="s">
        <v>723</v>
      </c>
      <c r="C206" s="758"/>
      <c r="D206" s="699">
        <f>D207</f>
        <v>2885620734</v>
      </c>
      <c r="E206" s="699">
        <f>E207</f>
        <v>2885620734</v>
      </c>
      <c r="F206" s="699">
        <f>F207</f>
        <v>0</v>
      </c>
      <c r="G206" s="630">
        <f t="shared" si="10"/>
        <v>1</v>
      </c>
      <c r="H206" s="142"/>
      <c r="I206" s="619"/>
      <c r="J206" s="620"/>
      <c r="K206" s="620"/>
      <c r="L206" s="657"/>
      <c r="M206" s="647"/>
    </row>
    <row r="207" spans="1:13" ht="63">
      <c r="A207" s="139"/>
      <c r="B207" s="215" t="s">
        <v>724</v>
      </c>
      <c r="C207" s="764" t="s">
        <v>725</v>
      </c>
      <c r="D207" s="725">
        <v>2885620734</v>
      </c>
      <c r="E207" s="725">
        <v>2885620734</v>
      </c>
      <c r="F207" s="136">
        <f>D207-E207</f>
        <v>0</v>
      </c>
      <c r="G207" s="633">
        <f t="shared" si="10"/>
        <v>1</v>
      </c>
      <c r="H207" s="139"/>
      <c r="I207" s="619"/>
      <c r="J207" s="620"/>
      <c r="K207" s="620"/>
      <c r="L207" s="620"/>
    </row>
    <row r="208" spans="1:13" ht="31.5">
      <c r="A208" s="765" t="s">
        <v>726</v>
      </c>
      <c r="B208" s="556" t="s">
        <v>727</v>
      </c>
      <c r="C208" s="765"/>
      <c r="D208" s="699">
        <f>D209</f>
        <v>1705287647.5476294</v>
      </c>
      <c r="E208" s="699">
        <f>E209</f>
        <v>1552132708</v>
      </c>
      <c r="F208" s="699">
        <f>F209</f>
        <v>153154939.54762924</v>
      </c>
      <c r="G208" s="630">
        <f t="shared" si="10"/>
        <v>0.91018820797307642</v>
      </c>
      <c r="H208" s="139"/>
      <c r="I208" s="619"/>
      <c r="J208" s="620"/>
      <c r="K208" s="620"/>
      <c r="L208" s="620"/>
    </row>
    <row r="209" spans="1:13" s="47" customFormat="1">
      <c r="A209" s="766"/>
      <c r="B209" s="1089" t="s">
        <v>728</v>
      </c>
      <c r="C209" s="1089"/>
      <c r="D209" s="699">
        <f>D210+D220</f>
        <v>1705287647.5476294</v>
      </c>
      <c r="E209" s="699">
        <f>E210+E220</f>
        <v>1552132708</v>
      </c>
      <c r="F209" s="699">
        <f>F210+F220</f>
        <v>153154939.54762924</v>
      </c>
      <c r="G209" s="630">
        <f t="shared" si="10"/>
        <v>0.91018820797307642</v>
      </c>
      <c r="H209" s="142"/>
      <c r="I209" s="619"/>
      <c r="J209" s="620"/>
      <c r="K209" s="620"/>
      <c r="M209" s="647"/>
    </row>
    <row r="210" spans="1:13" s="47" customFormat="1" ht="31.5">
      <c r="A210" s="766">
        <v>1</v>
      </c>
      <c r="B210" s="556" t="s">
        <v>729</v>
      </c>
      <c r="C210" s="766"/>
      <c r="D210" s="699">
        <f>D211+D216</f>
        <v>691537350.13767898</v>
      </c>
      <c r="E210" s="699">
        <f>E211+E216</f>
        <v>691537350</v>
      </c>
      <c r="F210" s="699">
        <f>F211+F216</f>
        <v>0.13767898082733154</v>
      </c>
      <c r="G210" s="630">
        <f t="shared" si="10"/>
        <v>0.99999999980090881</v>
      </c>
      <c r="H210" s="142"/>
      <c r="I210" s="619"/>
      <c r="J210" s="620"/>
      <c r="K210" s="620"/>
      <c r="M210" s="647"/>
    </row>
    <row r="211" spans="1:13" s="47" customFormat="1" hidden="1">
      <c r="A211" s="766" t="s">
        <v>15</v>
      </c>
      <c r="B211" s="556" t="s">
        <v>13</v>
      </c>
      <c r="C211" s="766"/>
      <c r="D211" s="699">
        <f>D212</f>
        <v>348518165</v>
      </c>
      <c r="E211" s="699">
        <f>E212</f>
        <v>348518165</v>
      </c>
      <c r="F211" s="699">
        <f>F212</f>
        <v>0</v>
      </c>
      <c r="G211" s="630">
        <f t="shared" si="10"/>
        <v>1</v>
      </c>
      <c r="H211" s="142"/>
      <c r="I211" s="619"/>
      <c r="J211" s="620"/>
      <c r="K211" s="620"/>
      <c r="M211" s="647"/>
    </row>
    <row r="212" spans="1:13" hidden="1">
      <c r="A212" s="477" t="s">
        <v>128</v>
      </c>
      <c r="B212" s="550" t="s">
        <v>730</v>
      </c>
      <c r="C212" s="477"/>
      <c r="D212" s="725">
        <f>SUM(D213:D215)</f>
        <v>348518165</v>
      </c>
      <c r="E212" s="725">
        <f>SUM(E213:E215)</f>
        <v>348518165</v>
      </c>
      <c r="F212" s="136">
        <f>D212-E212</f>
        <v>0</v>
      </c>
      <c r="G212" s="633">
        <f t="shared" si="10"/>
        <v>1</v>
      </c>
      <c r="H212" s="139"/>
      <c r="I212" s="619"/>
      <c r="J212" s="620"/>
      <c r="K212" s="620"/>
    </row>
    <row r="213" spans="1:13" s="62" customFormat="1" ht="31.5" hidden="1">
      <c r="A213" s="767"/>
      <c r="B213" s="768"/>
      <c r="C213" s="184" t="s">
        <v>731</v>
      </c>
      <c r="D213" s="701">
        <v>259455523</v>
      </c>
      <c r="E213" s="701">
        <v>259455523</v>
      </c>
      <c r="F213" s="136">
        <f>D213-E213</f>
        <v>0</v>
      </c>
      <c r="G213" s="633">
        <f t="shared" si="10"/>
        <v>1</v>
      </c>
      <c r="H213" s="629"/>
      <c r="I213" s="619"/>
      <c r="J213" s="620"/>
      <c r="K213" s="620"/>
      <c r="L213" s="39"/>
      <c r="M213" s="642"/>
    </row>
    <row r="214" spans="1:13" s="62" customFormat="1" ht="31.5" hidden="1">
      <c r="A214" s="767"/>
      <c r="B214" s="768"/>
      <c r="C214" s="184" t="s">
        <v>732</v>
      </c>
      <c r="D214" s="701">
        <v>51117093</v>
      </c>
      <c r="E214" s="701">
        <f>10027000+42342136+500000-1752043</f>
        <v>51117093</v>
      </c>
      <c r="F214" s="136">
        <f>D214-E214</f>
        <v>0</v>
      </c>
      <c r="G214" s="633">
        <f t="shared" si="10"/>
        <v>1</v>
      </c>
      <c r="H214" s="629"/>
      <c r="I214" s="619"/>
      <c r="J214" s="620"/>
      <c r="K214" s="620"/>
      <c r="L214" s="39"/>
      <c r="M214" s="642"/>
    </row>
    <row r="215" spans="1:13" s="62" customFormat="1" ht="31.5" hidden="1">
      <c r="A215" s="767"/>
      <c r="B215" s="768"/>
      <c r="C215" s="184" t="s">
        <v>733</v>
      </c>
      <c r="D215" s="701">
        <v>37945549</v>
      </c>
      <c r="E215" s="701">
        <v>37945549</v>
      </c>
      <c r="F215" s="136">
        <f>D215-E215</f>
        <v>0</v>
      </c>
      <c r="G215" s="633">
        <f t="shared" si="10"/>
        <v>1</v>
      </c>
      <c r="H215" s="629"/>
      <c r="I215" s="629"/>
      <c r="J215" s="620"/>
      <c r="K215" s="620"/>
      <c r="M215" s="642"/>
    </row>
    <row r="216" spans="1:13" hidden="1">
      <c r="A216" s="766" t="s">
        <v>15</v>
      </c>
      <c r="B216" s="556" t="s">
        <v>8</v>
      </c>
      <c r="C216" s="139"/>
      <c r="D216" s="699">
        <f>D217</f>
        <v>343019185.13767898</v>
      </c>
      <c r="E216" s="699">
        <f>E217</f>
        <v>343019185</v>
      </c>
      <c r="F216" s="699">
        <f>F217</f>
        <v>0.13767898082733154</v>
      </c>
      <c r="G216" s="630">
        <f t="shared" si="10"/>
        <v>0.99999999959862595</v>
      </c>
      <c r="H216" s="139"/>
      <c r="I216" s="619"/>
      <c r="J216" s="620"/>
      <c r="K216" s="620"/>
    </row>
    <row r="217" spans="1:13" ht="31.5" hidden="1">
      <c r="A217" s="477" t="s">
        <v>128</v>
      </c>
      <c r="B217" s="550" t="s">
        <v>734</v>
      </c>
      <c r="C217" s="139"/>
      <c r="D217" s="725">
        <f>D218+D219</f>
        <v>343019185.13767898</v>
      </c>
      <c r="E217" s="725">
        <f>E218+E219</f>
        <v>343019185</v>
      </c>
      <c r="F217" s="136">
        <f>D217-E217</f>
        <v>0.13767898082733154</v>
      </c>
      <c r="G217" s="633">
        <f t="shared" si="10"/>
        <v>0.99999999959862595</v>
      </c>
      <c r="H217" s="139"/>
      <c r="I217" s="619"/>
      <c r="J217" s="620"/>
      <c r="K217" s="620"/>
    </row>
    <row r="218" spans="1:13" s="62" customFormat="1" ht="31.5" hidden="1">
      <c r="A218" s="767"/>
      <c r="B218" s="768"/>
      <c r="C218" s="184" t="s">
        <v>735</v>
      </c>
      <c r="D218" s="701">
        <v>117447777.90805128</v>
      </c>
      <c r="E218" s="701">
        <v>117447778</v>
      </c>
      <c r="F218" s="136">
        <f>D218-E218</f>
        <v>-9.1948717832565308E-2</v>
      </c>
      <c r="G218" s="633">
        <f t="shared" si="10"/>
        <v>1.0000000007828902</v>
      </c>
      <c r="H218" s="629"/>
      <c r="I218" s="619"/>
      <c r="J218" s="620"/>
      <c r="K218" s="620"/>
      <c r="L218" s="39"/>
      <c r="M218" s="642"/>
    </row>
    <row r="219" spans="1:13" s="62" customFormat="1" ht="65.25" hidden="1" customHeight="1">
      <c r="A219" s="767"/>
      <c r="B219" s="768"/>
      <c r="C219" s="184" t="s">
        <v>736</v>
      </c>
      <c r="D219" s="701">
        <v>225571407.22962767</v>
      </c>
      <c r="E219" s="701">
        <f>42342116+183229291</f>
        <v>225571407</v>
      </c>
      <c r="F219" s="136">
        <f>D219-E219</f>
        <v>0.22962766885757446</v>
      </c>
      <c r="G219" s="633">
        <f t="shared" si="10"/>
        <v>0.99999999898201786</v>
      </c>
      <c r="H219" s="629"/>
      <c r="I219" s="619"/>
      <c r="J219" s="620"/>
      <c r="K219" s="620"/>
      <c r="M219" s="642"/>
    </row>
    <row r="220" spans="1:13" s="47" customFormat="1" ht="31.5">
      <c r="A220" s="769">
        <v>2</v>
      </c>
      <c r="B220" s="770" t="s">
        <v>585</v>
      </c>
      <c r="C220" s="655"/>
      <c r="D220" s="728">
        <f>D221+D231</f>
        <v>1013750297.4099503</v>
      </c>
      <c r="E220" s="728">
        <f>E221+E231</f>
        <v>860595358</v>
      </c>
      <c r="F220" s="728">
        <f>F221+F231</f>
        <v>153154939.40995026</v>
      </c>
      <c r="G220" s="640">
        <f t="shared" si="10"/>
        <v>0.84892242221654712</v>
      </c>
      <c r="H220" s="655"/>
      <c r="I220" s="619"/>
      <c r="J220" s="620"/>
      <c r="K220" s="620"/>
      <c r="M220" s="647"/>
    </row>
    <row r="221" spans="1:13">
      <c r="A221" s="771" t="s">
        <v>24</v>
      </c>
      <c r="B221" s="772" t="s">
        <v>13</v>
      </c>
      <c r="C221" s="643"/>
      <c r="D221" s="707">
        <f>D222</f>
        <v>442851799.76612699</v>
      </c>
      <c r="E221" s="707">
        <f>E222</f>
        <v>442851800</v>
      </c>
      <c r="F221" s="707">
        <f>F222</f>
        <v>-0.23387300968170166</v>
      </c>
      <c r="G221" s="659">
        <f t="shared" si="10"/>
        <v>1.0000000005281067</v>
      </c>
      <c r="H221" s="643"/>
      <c r="I221" s="619"/>
      <c r="J221" s="620"/>
      <c r="K221" s="620"/>
    </row>
    <row r="222" spans="1:13" hidden="1">
      <c r="A222" s="477" t="s">
        <v>128</v>
      </c>
      <c r="B222" s="550" t="s">
        <v>737</v>
      </c>
      <c r="C222" s="139"/>
      <c r="D222" s="725">
        <f>SUM(D223:D230)</f>
        <v>442851799.76612699</v>
      </c>
      <c r="E222" s="725">
        <f>SUM(E223:E230)</f>
        <v>442851800</v>
      </c>
      <c r="F222" s="136">
        <f t="shared" ref="F222:F230" si="11">D222-E222</f>
        <v>-0.23387300968170166</v>
      </c>
      <c r="G222" s="633">
        <f t="shared" si="10"/>
        <v>1.0000000005281067</v>
      </c>
      <c r="H222" s="139"/>
      <c r="I222" s="619"/>
      <c r="J222" s="620"/>
      <c r="K222" s="620"/>
    </row>
    <row r="223" spans="1:13" hidden="1">
      <c r="A223" s="477"/>
      <c r="B223" s="550"/>
      <c r="C223" s="768" t="s">
        <v>738</v>
      </c>
      <c r="D223" s="701">
        <v>18238418</v>
      </c>
      <c r="E223" s="725">
        <v>18238418</v>
      </c>
      <c r="F223" s="136">
        <f t="shared" si="11"/>
        <v>0</v>
      </c>
      <c r="G223" s="633">
        <f t="shared" si="10"/>
        <v>1</v>
      </c>
      <c r="H223" s="139"/>
      <c r="I223" s="619"/>
      <c r="J223" s="620"/>
      <c r="K223" s="620"/>
    </row>
    <row r="224" spans="1:13" ht="66" hidden="1" customHeight="1">
      <c r="A224" s="477"/>
      <c r="B224" s="550"/>
      <c r="C224" s="768" t="s">
        <v>739</v>
      </c>
      <c r="D224" s="701">
        <v>93889600</v>
      </c>
      <c r="E224" s="725">
        <v>93889600</v>
      </c>
      <c r="F224" s="136">
        <f t="shared" si="11"/>
        <v>0</v>
      </c>
      <c r="G224" s="633">
        <f t="shared" si="10"/>
        <v>1</v>
      </c>
      <c r="H224" s="139"/>
      <c r="I224" s="619"/>
      <c r="J224" s="620"/>
      <c r="K224" s="620"/>
    </row>
    <row r="225" spans="1:13" ht="31.5" hidden="1">
      <c r="A225" s="477"/>
      <c r="B225" s="550"/>
      <c r="C225" s="768" t="s">
        <v>740</v>
      </c>
      <c r="D225" s="701">
        <v>7447323</v>
      </c>
      <c r="E225" s="725">
        <v>7447323</v>
      </c>
      <c r="F225" s="136">
        <f t="shared" si="11"/>
        <v>0</v>
      </c>
      <c r="G225" s="633">
        <f t="shared" si="10"/>
        <v>1</v>
      </c>
      <c r="H225" s="139"/>
      <c r="I225" s="619"/>
      <c r="J225" s="620"/>
      <c r="K225" s="620"/>
    </row>
    <row r="226" spans="1:13" ht="31.5" hidden="1">
      <c r="A226" s="477"/>
      <c r="B226" s="550"/>
      <c r="C226" s="768" t="s">
        <v>741</v>
      </c>
      <c r="D226" s="701">
        <v>44003000</v>
      </c>
      <c r="E226" s="725">
        <v>44003000</v>
      </c>
      <c r="F226" s="136">
        <f t="shared" si="11"/>
        <v>0</v>
      </c>
      <c r="G226" s="633">
        <f t="shared" si="10"/>
        <v>1</v>
      </c>
      <c r="H226" s="139"/>
      <c r="I226" s="619"/>
      <c r="J226" s="620"/>
      <c r="K226" s="620"/>
    </row>
    <row r="227" spans="1:13" ht="55.15" hidden="1" customHeight="1">
      <c r="A227" s="477"/>
      <c r="B227" s="550"/>
      <c r="C227" s="768" t="s">
        <v>742</v>
      </c>
      <c r="D227" s="701">
        <v>15108938</v>
      </c>
      <c r="E227" s="725">
        <v>15108938</v>
      </c>
      <c r="F227" s="136">
        <f t="shared" si="11"/>
        <v>0</v>
      </c>
      <c r="G227" s="633">
        <f t="shared" si="10"/>
        <v>1</v>
      </c>
      <c r="H227" s="139"/>
      <c r="I227" s="619"/>
      <c r="J227" s="620"/>
      <c r="K227" s="620"/>
    </row>
    <row r="228" spans="1:13" ht="61.9" hidden="1" customHeight="1">
      <c r="A228" s="477"/>
      <c r="B228" s="550"/>
      <c r="C228" s="690" t="s">
        <v>743</v>
      </c>
      <c r="D228" s="710">
        <v>17430263</v>
      </c>
      <c r="E228" s="725">
        <f>17430000+263</f>
        <v>17430263</v>
      </c>
      <c r="F228" s="136">
        <f t="shared" si="11"/>
        <v>0</v>
      </c>
      <c r="G228" s="633">
        <f t="shared" si="10"/>
        <v>1</v>
      </c>
      <c r="H228" s="139"/>
      <c r="I228" s="619"/>
      <c r="J228" s="620"/>
      <c r="K228" s="620"/>
    </row>
    <row r="229" spans="1:13" ht="54.6" hidden="1" customHeight="1">
      <c r="A229" s="477"/>
      <c r="B229" s="550"/>
      <c r="C229" s="690" t="s">
        <v>744</v>
      </c>
      <c r="D229" s="710">
        <v>9942654.7661269829</v>
      </c>
      <c r="E229" s="725">
        <v>9942655</v>
      </c>
      <c r="F229" s="136">
        <f t="shared" si="11"/>
        <v>-0.23387301713228226</v>
      </c>
      <c r="G229" s="633">
        <f t="shared" si="10"/>
        <v>1.0000000235221902</v>
      </c>
      <c r="H229" s="139"/>
      <c r="I229" s="619"/>
      <c r="J229" s="620"/>
      <c r="K229" s="620"/>
    </row>
    <row r="230" spans="1:13" ht="31.5" hidden="1">
      <c r="A230" s="477"/>
      <c r="B230" s="550"/>
      <c r="C230" s="768" t="s">
        <v>745</v>
      </c>
      <c r="D230" s="701">
        <v>236791603</v>
      </c>
      <c r="E230" s="725">
        <v>236791603</v>
      </c>
      <c r="F230" s="136">
        <f t="shared" si="11"/>
        <v>0</v>
      </c>
      <c r="G230" s="633">
        <f t="shared" si="10"/>
        <v>1</v>
      </c>
      <c r="H230" s="139"/>
      <c r="I230" s="619"/>
      <c r="J230" s="620"/>
      <c r="K230" s="620"/>
    </row>
    <row r="231" spans="1:13">
      <c r="A231" s="766" t="s">
        <v>59</v>
      </c>
      <c r="B231" s="556" t="s">
        <v>8</v>
      </c>
      <c r="C231" s="139"/>
      <c r="D231" s="699">
        <f>D232</f>
        <v>570898497.64382327</v>
      </c>
      <c r="E231" s="699">
        <f>E232</f>
        <v>417743558</v>
      </c>
      <c r="F231" s="699">
        <f>F232</f>
        <v>153154939.64382327</v>
      </c>
      <c r="G231" s="630">
        <f t="shared" si="10"/>
        <v>0.73173000055891757</v>
      </c>
      <c r="H231" s="139"/>
      <c r="I231" s="619"/>
      <c r="J231" s="620"/>
      <c r="K231" s="620"/>
    </row>
    <row r="232" spans="1:13" ht="31.5">
      <c r="A232" s="477" t="s">
        <v>128</v>
      </c>
      <c r="B232" s="550" t="s">
        <v>734</v>
      </c>
      <c r="C232" s="550"/>
      <c r="D232" s="725">
        <f>SUM(D233:D235)</f>
        <v>570898497.64382327</v>
      </c>
      <c r="E232" s="725">
        <f>SUM(E233:E235)</f>
        <v>417743558</v>
      </c>
      <c r="F232" s="136">
        <f>D232-E232</f>
        <v>153154939.64382327</v>
      </c>
      <c r="G232" s="633">
        <f t="shared" si="10"/>
        <v>0.73173000055891757</v>
      </c>
      <c r="H232" s="139"/>
      <c r="I232" s="619"/>
      <c r="J232" s="620"/>
      <c r="K232" s="620"/>
    </row>
    <row r="233" spans="1:13" ht="47.25">
      <c r="A233" s="477"/>
      <c r="B233" s="550"/>
      <c r="C233" s="690" t="s">
        <v>746</v>
      </c>
      <c r="D233" s="701">
        <v>375401442.11508399</v>
      </c>
      <c r="E233" s="725">
        <f>211033413+164368029</f>
        <v>375401442</v>
      </c>
      <c r="F233" s="174">
        <f>D233-E233</f>
        <v>0.11508399248123169</v>
      </c>
      <c r="G233" s="633">
        <f t="shared" si="10"/>
        <v>0.99999999969343756</v>
      </c>
      <c r="H233" s="139"/>
      <c r="I233" s="619"/>
      <c r="J233" s="620"/>
      <c r="K233" s="620"/>
    </row>
    <row r="234" spans="1:13" ht="41.45" customHeight="1">
      <c r="A234" s="477"/>
      <c r="B234" s="550"/>
      <c r="C234" s="690" t="s">
        <v>747</v>
      </c>
      <c r="D234" s="701">
        <v>153154939.75836694</v>
      </c>
      <c r="E234" s="725"/>
      <c r="F234" s="174">
        <f>D234-E234</f>
        <v>153154939.75836694</v>
      </c>
      <c r="G234" s="633">
        <f t="shared" si="10"/>
        <v>0</v>
      </c>
      <c r="H234" s="139"/>
      <c r="I234" s="619"/>
      <c r="J234" s="620"/>
      <c r="K234" s="620"/>
    </row>
    <row r="235" spans="1:13" ht="91.5" hidden="1" customHeight="1">
      <c r="A235" s="587"/>
      <c r="B235" s="538"/>
      <c r="C235" s="773" t="s">
        <v>736</v>
      </c>
      <c r="D235" s="744">
        <v>42342115.770372331</v>
      </c>
      <c r="E235" s="744">
        <v>42342116</v>
      </c>
      <c r="F235" s="668">
        <f>D235-E235</f>
        <v>-0.22962766885757446</v>
      </c>
      <c r="G235" s="669">
        <f t="shared" si="10"/>
        <v>1.0000000054231506</v>
      </c>
      <c r="H235" s="651"/>
      <c r="I235" s="774"/>
      <c r="J235" s="620"/>
      <c r="K235" s="620"/>
      <c r="L235" s="62"/>
    </row>
    <row r="236" spans="1:13" ht="47.25">
      <c r="A236" s="775" t="s">
        <v>748</v>
      </c>
      <c r="B236" s="772" t="s">
        <v>749</v>
      </c>
      <c r="C236" s="775"/>
      <c r="D236" s="707">
        <f>D240+D242+D244+D246+D249+D254+D237</f>
        <v>39726101126.999184</v>
      </c>
      <c r="E236" s="707">
        <f>E240+E242+E244+E246+E249+E254+E237</f>
        <v>33859803029</v>
      </c>
      <c r="F236" s="707">
        <f>F240+F242+F244+F246+F249+F254+F237</f>
        <v>5866298097.9991817</v>
      </c>
      <c r="G236" s="659">
        <f t="shared" si="10"/>
        <v>0.85233139090983556</v>
      </c>
      <c r="H236" s="643"/>
      <c r="I236" s="619"/>
      <c r="J236" s="620"/>
      <c r="K236" s="620"/>
      <c r="L236" s="620"/>
    </row>
    <row r="237" spans="1:13" ht="31.5">
      <c r="A237" s="776">
        <v>1</v>
      </c>
      <c r="B237" s="777" t="s">
        <v>750</v>
      </c>
      <c r="C237" s="778"/>
      <c r="D237" s="779">
        <f>D238+D239</f>
        <v>1212618512</v>
      </c>
      <c r="E237" s="779">
        <f>E238+E239</f>
        <v>1212618512</v>
      </c>
      <c r="F237" s="779">
        <f>F238+F239</f>
        <v>0</v>
      </c>
      <c r="G237" s="780"/>
      <c r="H237" s="1090" t="s">
        <v>751</v>
      </c>
      <c r="I237" s="619"/>
      <c r="J237" s="620"/>
      <c r="K237" s="620"/>
      <c r="L237" s="620"/>
    </row>
    <row r="238" spans="1:13" hidden="1">
      <c r="A238" s="781"/>
      <c r="B238" s="782" t="s">
        <v>752</v>
      </c>
      <c r="C238" s="1090" t="s">
        <v>753</v>
      </c>
      <c r="D238" s="783">
        <v>598216752</v>
      </c>
      <c r="E238" s="783">
        <f>D238</f>
        <v>598216752</v>
      </c>
      <c r="F238" s="136">
        <f>D238-E238</f>
        <v>0</v>
      </c>
      <c r="G238" s="784"/>
      <c r="H238" s="1091"/>
      <c r="I238" s="619"/>
      <c r="J238" s="620"/>
      <c r="K238" s="620"/>
      <c r="L238" s="620"/>
    </row>
    <row r="239" spans="1:13" hidden="1">
      <c r="A239" s="785"/>
      <c r="B239" s="782" t="s">
        <v>754</v>
      </c>
      <c r="C239" s="1092"/>
      <c r="D239" s="783">
        <v>614401760</v>
      </c>
      <c r="E239" s="783">
        <f>D239</f>
        <v>614401760</v>
      </c>
      <c r="F239" s="136">
        <f>D239-E239</f>
        <v>0</v>
      </c>
      <c r="G239" s="784"/>
      <c r="H239" s="1092"/>
      <c r="I239" s="619"/>
      <c r="J239" s="620"/>
      <c r="K239" s="620"/>
      <c r="L239" s="620"/>
    </row>
    <row r="240" spans="1:13" s="47" customFormat="1" ht="31.5">
      <c r="A240" s="766">
        <v>2</v>
      </c>
      <c r="B240" s="556" t="s">
        <v>755</v>
      </c>
      <c r="C240" s="766"/>
      <c r="D240" s="699">
        <f>D241</f>
        <v>185725939</v>
      </c>
      <c r="E240" s="699">
        <f>E241</f>
        <v>185725939</v>
      </c>
      <c r="F240" s="699">
        <f>F241</f>
        <v>0</v>
      </c>
      <c r="G240" s="630">
        <f t="shared" si="10"/>
        <v>1</v>
      </c>
      <c r="H240" s="142"/>
      <c r="I240" s="619"/>
      <c r="J240" s="620"/>
      <c r="K240" s="620"/>
      <c r="M240" s="647"/>
    </row>
    <row r="241" spans="1:13" ht="117" hidden="1" customHeight="1">
      <c r="A241" s="477" t="s">
        <v>128</v>
      </c>
      <c r="B241" s="550" t="s">
        <v>756</v>
      </c>
      <c r="C241" s="690" t="s">
        <v>757</v>
      </c>
      <c r="D241" s="725">
        <v>185725939</v>
      </c>
      <c r="E241" s="725">
        <f>D241</f>
        <v>185725939</v>
      </c>
      <c r="F241" s="136">
        <f>D241-E241</f>
        <v>0</v>
      </c>
      <c r="G241" s="633">
        <f t="shared" si="10"/>
        <v>1</v>
      </c>
      <c r="H241" s="215" t="s">
        <v>758</v>
      </c>
      <c r="I241" s="619"/>
      <c r="J241" s="620"/>
      <c r="K241" s="620"/>
    </row>
    <row r="242" spans="1:13" s="47" customFormat="1" ht="31.5">
      <c r="A242" s="766">
        <v>3</v>
      </c>
      <c r="B242" s="556" t="s">
        <v>585</v>
      </c>
      <c r="C242" s="693"/>
      <c r="D242" s="699">
        <f>D243</f>
        <v>81814000</v>
      </c>
      <c r="E242" s="699">
        <f>E243</f>
        <v>81814000</v>
      </c>
      <c r="F242" s="699">
        <f>F243</f>
        <v>0</v>
      </c>
      <c r="G242" s="630">
        <f t="shared" si="10"/>
        <v>1</v>
      </c>
      <c r="H242" s="142"/>
      <c r="I242" s="619"/>
      <c r="J242" s="620"/>
      <c r="K242" s="620"/>
      <c r="M242" s="647"/>
    </row>
    <row r="243" spans="1:13" ht="50.45" hidden="1" customHeight="1">
      <c r="A243" s="477" t="s">
        <v>128</v>
      </c>
      <c r="B243" s="550" t="s">
        <v>756</v>
      </c>
      <c r="C243" s="690" t="s">
        <v>759</v>
      </c>
      <c r="D243" s="725">
        <v>81814000</v>
      </c>
      <c r="E243" s="725">
        <v>81814000</v>
      </c>
      <c r="F243" s="136">
        <f>D243-E243</f>
        <v>0</v>
      </c>
      <c r="G243" s="633">
        <f t="shared" si="10"/>
        <v>1</v>
      </c>
      <c r="H243" s="139"/>
      <c r="I243" s="619"/>
      <c r="J243" s="620"/>
      <c r="K243" s="620"/>
    </row>
    <row r="244" spans="1:13" s="47" customFormat="1">
      <c r="A244" s="766">
        <v>4</v>
      </c>
      <c r="B244" s="556" t="s">
        <v>760</v>
      </c>
      <c r="C244" s="693"/>
      <c r="D244" s="699">
        <f>D245</f>
        <v>197416693</v>
      </c>
      <c r="E244" s="699">
        <f>E245</f>
        <v>197416693</v>
      </c>
      <c r="F244" s="699">
        <f>F245</f>
        <v>0</v>
      </c>
      <c r="G244" s="630">
        <f t="shared" si="10"/>
        <v>1</v>
      </c>
      <c r="H244" s="142"/>
      <c r="I244" s="619"/>
      <c r="J244" s="620"/>
      <c r="K244" s="620"/>
      <c r="M244" s="647"/>
    </row>
    <row r="245" spans="1:13" ht="47.25" hidden="1">
      <c r="A245" s="477" t="s">
        <v>128</v>
      </c>
      <c r="B245" s="550" t="s">
        <v>761</v>
      </c>
      <c r="C245" s="690" t="s">
        <v>762</v>
      </c>
      <c r="D245" s="725">
        <v>197416693</v>
      </c>
      <c r="E245" s="725">
        <f>D245</f>
        <v>197416693</v>
      </c>
      <c r="F245" s="136">
        <f>D245-E245</f>
        <v>0</v>
      </c>
      <c r="G245" s="633">
        <f t="shared" si="10"/>
        <v>1</v>
      </c>
      <c r="H245" s="139" t="s">
        <v>650</v>
      </c>
      <c r="I245" s="619"/>
      <c r="J245" s="620"/>
      <c r="K245" s="620"/>
    </row>
    <row r="246" spans="1:13" s="47" customFormat="1">
      <c r="A246" s="766">
        <v>5</v>
      </c>
      <c r="B246" s="556" t="s">
        <v>763</v>
      </c>
      <c r="C246" s="766"/>
      <c r="D246" s="699">
        <f>D247+D248</f>
        <v>1212618512</v>
      </c>
      <c r="E246" s="699">
        <f>E247+E248</f>
        <v>1212618512</v>
      </c>
      <c r="F246" s="699">
        <f>F247+F248</f>
        <v>0</v>
      </c>
      <c r="G246" s="630">
        <f t="shared" si="10"/>
        <v>1</v>
      </c>
      <c r="H246" s="142"/>
      <c r="I246" s="619"/>
      <c r="J246" s="620"/>
      <c r="K246" s="620"/>
      <c r="M246" s="647"/>
    </row>
    <row r="247" spans="1:13" hidden="1">
      <c r="A247" s="477" t="s">
        <v>128</v>
      </c>
      <c r="B247" s="550" t="s">
        <v>764</v>
      </c>
      <c r="C247" s="213" t="s">
        <v>765</v>
      </c>
      <c r="D247" s="725">
        <v>598216752</v>
      </c>
      <c r="E247" s="725">
        <f>D247</f>
        <v>598216752</v>
      </c>
      <c r="F247" s="136">
        <f>D247-E247</f>
        <v>0</v>
      </c>
      <c r="G247" s="633">
        <f t="shared" si="10"/>
        <v>1</v>
      </c>
      <c r="H247" s="139"/>
      <c r="I247" s="619"/>
      <c r="J247" s="620"/>
      <c r="K247" s="620"/>
    </row>
    <row r="248" spans="1:13" hidden="1">
      <c r="A248" s="477" t="s">
        <v>128</v>
      </c>
      <c r="B248" s="550" t="s">
        <v>766</v>
      </c>
      <c r="C248" s="213" t="s">
        <v>767</v>
      </c>
      <c r="D248" s="725">
        <v>614401760</v>
      </c>
      <c r="E248" s="725">
        <f>D248</f>
        <v>614401760</v>
      </c>
      <c r="F248" s="136">
        <f>D248-E248</f>
        <v>0</v>
      </c>
      <c r="G248" s="633">
        <f t="shared" si="10"/>
        <v>1</v>
      </c>
      <c r="H248" s="139"/>
      <c r="I248" s="619"/>
      <c r="J248" s="620"/>
      <c r="K248" s="620"/>
    </row>
    <row r="249" spans="1:13" s="47" customFormat="1">
      <c r="A249" s="766">
        <v>6</v>
      </c>
      <c r="B249" s="556" t="s">
        <v>768</v>
      </c>
      <c r="C249" s="766"/>
      <c r="D249" s="699">
        <f>D250+D252</f>
        <v>36126809678</v>
      </c>
      <c r="E249" s="699">
        <f>E250+E252</f>
        <v>30260511580</v>
      </c>
      <c r="F249" s="699">
        <f>F250+F252</f>
        <v>5866298098</v>
      </c>
      <c r="G249" s="630">
        <f t="shared" si="10"/>
        <v>0.83761925976064322</v>
      </c>
      <c r="H249" s="142"/>
      <c r="I249" s="619"/>
      <c r="J249" s="620"/>
      <c r="K249" s="620"/>
      <c r="M249" s="647"/>
    </row>
    <row r="250" spans="1:13" ht="129" customHeight="1">
      <c r="A250" s="587" t="s">
        <v>486</v>
      </c>
      <c r="B250" s="538" t="s">
        <v>769</v>
      </c>
      <c r="C250" s="587"/>
      <c r="D250" s="744">
        <f>D251</f>
        <v>11127509678</v>
      </c>
      <c r="E250" s="744">
        <f>E251</f>
        <v>5261211580</v>
      </c>
      <c r="F250" s="744">
        <f>F251</f>
        <v>5866298098</v>
      </c>
      <c r="G250" s="669">
        <f t="shared" si="10"/>
        <v>0.47281123380210105</v>
      </c>
      <c r="H250" s="486" t="s">
        <v>770</v>
      </c>
      <c r="I250" s="619"/>
      <c r="J250" s="620"/>
      <c r="K250" s="620"/>
    </row>
    <row r="251" spans="1:13" ht="94.5">
      <c r="A251" s="786" t="s">
        <v>128</v>
      </c>
      <c r="B251" s="548" t="s">
        <v>648</v>
      </c>
      <c r="C251" s="715" t="s">
        <v>771</v>
      </c>
      <c r="D251" s="738">
        <v>11127509678</v>
      </c>
      <c r="E251" s="738">
        <f>2675376101+125089000+793560007+1667186472</f>
        <v>5261211580</v>
      </c>
      <c r="F251" s="645">
        <f>D251-E251</f>
        <v>5866298098</v>
      </c>
      <c r="G251" s="646">
        <f t="shared" si="10"/>
        <v>0.47281123380210105</v>
      </c>
      <c r="H251" s="643"/>
      <c r="I251" s="619"/>
      <c r="J251" s="620"/>
      <c r="K251" s="620"/>
    </row>
    <row r="252" spans="1:13">
      <c r="A252" s="477" t="s">
        <v>489</v>
      </c>
      <c r="B252" s="550" t="s">
        <v>772</v>
      </c>
      <c r="C252" s="477"/>
      <c r="D252" s="725">
        <f>D253</f>
        <v>24999300000</v>
      </c>
      <c r="E252" s="725">
        <f>E253</f>
        <v>24999300000</v>
      </c>
      <c r="F252" s="725">
        <f>F253</f>
        <v>0</v>
      </c>
      <c r="G252" s="633">
        <f t="shared" si="10"/>
        <v>1</v>
      </c>
      <c r="H252" s="139"/>
      <c r="I252" s="619"/>
      <c r="J252" s="620"/>
      <c r="K252" s="620"/>
    </row>
    <row r="253" spans="1:13" ht="126" hidden="1">
      <c r="A253" s="477" t="s">
        <v>128</v>
      </c>
      <c r="B253" s="550" t="s">
        <v>773</v>
      </c>
      <c r="C253" s="213" t="s">
        <v>774</v>
      </c>
      <c r="D253" s="725">
        <v>24999300000</v>
      </c>
      <c r="E253" s="725">
        <v>24999300000</v>
      </c>
      <c r="F253" s="136">
        <f>D253-E253</f>
        <v>0</v>
      </c>
      <c r="G253" s="633">
        <f t="shared" si="10"/>
        <v>1</v>
      </c>
      <c r="H253" s="139"/>
      <c r="I253" s="619"/>
      <c r="J253" s="620"/>
      <c r="K253" s="620"/>
    </row>
    <row r="254" spans="1:13" s="47" customFormat="1" ht="65.25" customHeight="1">
      <c r="A254" s="766">
        <v>7</v>
      </c>
      <c r="B254" s="628" t="s">
        <v>775</v>
      </c>
      <c r="C254" s="766"/>
      <c r="D254" s="699">
        <f>D255+D256</f>
        <v>709097792.99918163</v>
      </c>
      <c r="E254" s="699">
        <f>E255+E256</f>
        <v>709097793</v>
      </c>
      <c r="F254" s="699">
        <f>F255+F256</f>
        <v>-8.1837177276611328E-4</v>
      </c>
      <c r="G254" s="630">
        <f t="shared" si="10"/>
        <v>1.0000000000011542</v>
      </c>
      <c r="H254" s="142"/>
      <c r="I254" s="619"/>
      <c r="J254" s="620"/>
      <c r="K254" s="620"/>
      <c r="M254" s="647"/>
    </row>
    <row r="255" spans="1:13" ht="47.25" hidden="1">
      <c r="A255" s="477" t="s">
        <v>128</v>
      </c>
      <c r="B255" s="550" t="s">
        <v>756</v>
      </c>
      <c r="C255" s="213" t="s">
        <v>776</v>
      </c>
      <c r="D255" s="725">
        <v>372660968.27995396</v>
      </c>
      <c r="E255" s="725">
        <v>372660968</v>
      </c>
      <c r="F255" s="136">
        <f>D255-E255</f>
        <v>0.27995395660400391</v>
      </c>
      <c r="G255" s="633">
        <f t="shared" si="10"/>
        <v>0.99999999924877037</v>
      </c>
      <c r="H255" s="139"/>
      <c r="I255" s="619"/>
      <c r="J255" s="620"/>
      <c r="K255" s="620"/>
    </row>
    <row r="256" spans="1:13" ht="53.45" hidden="1" customHeight="1">
      <c r="A256" s="477" t="s">
        <v>128</v>
      </c>
      <c r="B256" s="550" t="s">
        <v>761</v>
      </c>
      <c r="C256" s="213" t="s">
        <v>762</v>
      </c>
      <c r="D256" s="725">
        <v>336436824.71922767</v>
      </c>
      <c r="E256" s="725">
        <v>336436825</v>
      </c>
      <c r="F256" s="136">
        <f>D256-E256</f>
        <v>-0.28077232837677002</v>
      </c>
      <c r="G256" s="633">
        <f t="shared" si="10"/>
        <v>1.0000000008345469</v>
      </c>
      <c r="H256" s="139"/>
      <c r="I256" s="619"/>
      <c r="J256" s="620"/>
      <c r="K256" s="620"/>
    </row>
    <row r="257" spans="1:13">
      <c r="A257" s="587"/>
      <c r="B257" s="538"/>
      <c r="C257" s="587"/>
      <c r="D257" s="744"/>
      <c r="E257" s="744"/>
      <c r="F257" s="744"/>
      <c r="G257" s="669"/>
      <c r="H257" s="651"/>
      <c r="I257" s="619"/>
      <c r="J257" s="620"/>
      <c r="K257" s="620"/>
    </row>
    <row r="258" spans="1:13" s="47" customFormat="1">
      <c r="A258" s="1080" t="s">
        <v>777</v>
      </c>
      <c r="B258" s="1081"/>
      <c r="C258" s="1082"/>
      <c r="D258" s="787">
        <f>D6+D208+D236</f>
        <v>2617178710711.7075</v>
      </c>
      <c r="E258" s="787">
        <f>E6+E208+E236</f>
        <v>2471974743331.9609</v>
      </c>
      <c r="F258" s="787">
        <f>F6+F208+F236</f>
        <v>145203967379.74683</v>
      </c>
      <c r="G258" s="788">
        <f>+E258/D258</f>
        <v>0.94451889479864359</v>
      </c>
      <c r="H258" s="14"/>
      <c r="I258" s="619"/>
      <c r="J258" s="620"/>
      <c r="K258" s="620"/>
      <c r="M258" s="647"/>
    </row>
  </sheetData>
  <mergeCells count="12">
    <mergeCell ref="A258:C258"/>
    <mergeCell ref="D1:H1"/>
    <mergeCell ref="A2:H2"/>
    <mergeCell ref="A3:H3"/>
    <mergeCell ref="F4:H4"/>
    <mergeCell ref="A7:C7"/>
    <mergeCell ref="H99:H100"/>
    <mergeCell ref="H115:H118"/>
    <mergeCell ref="A150:C150"/>
    <mergeCell ref="B209:C209"/>
    <mergeCell ref="H237:H239"/>
    <mergeCell ref="C238:C239"/>
  </mergeCells>
  <printOptions horizontalCentered="1"/>
  <pageMargins left="0.25" right="0.25" top="0.2" bottom="0.37" header="0.3" footer="0.23"/>
  <pageSetup paperSize="9" scale="80"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zoomScale="80" zoomScaleNormal="80" workbookViewId="0">
      <pane xSplit="2" ySplit="6" topLeftCell="C56" activePane="bottomRight" state="frozen"/>
      <selection activeCell="I65" sqref="I65"/>
      <selection pane="topRight" activeCell="I65" sqref="I65"/>
      <selection pane="bottomLeft" activeCell="I65" sqref="I65"/>
      <selection pane="bottomRight" activeCell="C69" sqref="C69"/>
    </sheetView>
  </sheetViews>
  <sheetFormatPr defaultRowHeight="15.75"/>
  <cols>
    <col min="1" max="1" width="7.140625" style="791" customWidth="1"/>
    <col min="2" max="2" width="35.7109375" style="76" customWidth="1"/>
    <col min="3" max="3" width="35.85546875" style="792" customWidth="1"/>
    <col min="4" max="5" width="18" style="793" bestFit="1" customWidth="1"/>
    <col min="6" max="6" width="16.28515625" style="793" customWidth="1"/>
    <col min="7" max="7" width="12.85546875" style="857" bestFit="1" customWidth="1"/>
    <col min="8" max="8" width="23.85546875" style="791" customWidth="1"/>
    <col min="9" max="9" width="3" style="791" hidden="1" customWidth="1"/>
    <col min="10" max="10" width="19.7109375" style="76" customWidth="1"/>
    <col min="11" max="11" width="10.28515625" style="76" customWidth="1"/>
    <col min="12" max="12" width="10.5703125" style="76" bestFit="1" customWidth="1"/>
    <col min="13" max="13" width="61.5703125" style="76" customWidth="1"/>
    <col min="14" max="14" width="20.7109375" style="76" bestFit="1" customWidth="1"/>
    <col min="15" max="256" width="9.140625" style="76"/>
    <col min="257" max="257" width="7.140625" style="76" customWidth="1"/>
    <col min="258" max="258" width="35.7109375" style="76" customWidth="1"/>
    <col min="259" max="259" width="35.85546875" style="76" customWidth="1"/>
    <col min="260" max="261" width="18" style="76" bestFit="1" customWidth="1"/>
    <col min="262" max="262" width="16.7109375" style="76" bestFit="1" customWidth="1"/>
    <col min="263" max="263" width="12.85546875" style="76" bestFit="1" customWidth="1"/>
    <col min="264" max="264" width="27.85546875" style="76" customWidth="1"/>
    <col min="265" max="265" width="0" style="76" hidden="1" customWidth="1"/>
    <col min="266" max="266" width="19.7109375" style="76" customWidth="1"/>
    <col min="267" max="267" width="10.28515625" style="76" customWidth="1"/>
    <col min="268" max="268" width="10.5703125" style="76" bestFit="1" customWidth="1"/>
    <col min="269" max="269" width="61.5703125" style="76" customWidth="1"/>
    <col min="270" max="270" width="20.7109375" style="76" bestFit="1" customWidth="1"/>
    <col min="271" max="512" width="9.140625" style="76"/>
    <col min="513" max="513" width="7.140625" style="76" customWidth="1"/>
    <col min="514" max="514" width="35.7109375" style="76" customWidth="1"/>
    <col min="515" max="515" width="35.85546875" style="76" customWidth="1"/>
    <col min="516" max="517" width="18" style="76" bestFit="1" customWidth="1"/>
    <col min="518" max="518" width="16.7109375" style="76" bestFit="1" customWidth="1"/>
    <col min="519" max="519" width="12.85546875" style="76" bestFit="1" customWidth="1"/>
    <col min="520" max="520" width="27.85546875" style="76" customWidth="1"/>
    <col min="521" max="521" width="0" style="76" hidden="1" customWidth="1"/>
    <col min="522" max="522" width="19.7109375" style="76" customWidth="1"/>
    <col min="523" max="523" width="10.28515625" style="76" customWidth="1"/>
    <col min="524" max="524" width="10.5703125" style="76" bestFit="1" customWidth="1"/>
    <col min="525" max="525" width="61.5703125" style="76" customWidth="1"/>
    <col min="526" max="526" width="20.7109375" style="76" bestFit="1" customWidth="1"/>
    <col min="527" max="768" width="9.140625" style="76"/>
    <col min="769" max="769" width="7.140625" style="76" customWidth="1"/>
    <col min="770" max="770" width="35.7109375" style="76" customWidth="1"/>
    <col min="771" max="771" width="35.85546875" style="76" customWidth="1"/>
    <col min="772" max="773" width="18" style="76" bestFit="1" customWidth="1"/>
    <col min="774" max="774" width="16.7109375" style="76" bestFit="1" customWidth="1"/>
    <col min="775" max="775" width="12.85546875" style="76" bestFit="1" customWidth="1"/>
    <col min="776" max="776" width="27.85546875" style="76" customWidth="1"/>
    <col min="777" max="777" width="0" style="76" hidden="1" customWidth="1"/>
    <col min="778" max="778" width="19.7109375" style="76" customWidth="1"/>
    <col min="779" max="779" width="10.28515625" style="76" customWidth="1"/>
    <col min="780" max="780" width="10.5703125" style="76" bestFit="1" customWidth="1"/>
    <col min="781" max="781" width="61.5703125" style="76" customWidth="1"/>
    <col min="782" max="782" width="20.7109375" style="76" bestFit="1" customWidth="1"/>
    <col min="783" max="1024" width="9.140625" style="76"/>
    <col min="1025" max="1025" width="7.140625" style="76" customWidth="1"/>
    <col min="1026" max="1026" width="35.7109375" style="76" customWidth="1"/>
    <col min="1027" max="1027" width="35.85546875" style="76" customWidth="1"/>
    <col min="1028" max="1029" width="18" style="76" bestFit="1" customWidth="1"/>
    <col min="1030" max="1030" width="16.7109375" style="76" bestFit="1" customWidth="1"/>
    <col min="1031" max="1031" width="12.85546875" style="76" bestFit="1" customWidth="1"/>
    <col min="1032" max="1032" width="27.85546875" style="76" customWidth="1"/>
    <col min="1033" max="1033" width="0" style="76" hidden="1" customWidth="1"/>
    <col min="1034" max="1034" width="19.7109375" style="76" customWidth="1"/>
    <col min="1035" max="1035" width="10.28515625" style="76" customWidth="1"/>
    <col min="1036" max="1036" width="10.5703125" style="76" bestFit="1" customWidth="1"/>
    <col min="1037" max="1037" width="61.5703125" style="76" customWidth="1"/>
    <col min="1038" max="1038" width="20.7109375" style="76" bestFit="1" customWidth="1"/>
    <col min="1039" max="1280" width="9.140625" style="76"/>
    <col min="1281" max="1281" width="7.140625" style="76" customWidth="1"/>
    <col min="1282" max="1282" width="35.7109375" style="76" customWidth="1"/>
    <col min="1283" max="1283" width="35.85546875" style="76" customWidth="1"/>
    <col min="1284" max="1285" width="18" style="76" bestFit="1" customWidth="1"/>
    <col min="1286" max="1286" width="16.7109375" style="76" bestFit="1" customWidth="1"/>
    <col min="1287" max="1287" width="12.85546875" style="76" bestFit="1" customWidth="1"/>
    <col min="1288" max="1288" width="27.85546875" style="76" customWidth="1"/>
    <col min="1289" max="1289" width="0" style="76" hidden="1" customWidth="1"/>
    <col min="1290" max="1290" width="19.7109375" style="76" customWidth="1"/>
    <col min="1291" max="1291" width="10.28515625" style="76" customWidth="1"/>
    <col min="1292" max="1292" width="10.5703125" style="76" bestFit="1" customWidth="1"/>
    <col min="1293" max="1293" width="61.5703125" style="76" customWidth="1"/>
    <col min="1294" max="1294" width="20.7109375" style="76" bestFit="1" customWidth="1"/>
    <col min="1295" max="1536" width="9.140625" style="76"/>
    <col min="1537" max="1537" width="7.140625" style="76" customWidth="1"/>
    <col min="1538" max="1538" width="35.7109375" style="76" customWidth="1"/>
    <col min="1539" max="1539" width="35.85546875" style="76" customWidth="1"/>
    <col min="1540" max="1541" width="18" style="76" bestFit="1" customWidth="1"/>
    <col min="1542" max="1542" width="16.7109375" style="76" bestFit="1" customWidth="1"/>
    <col min="1543" max="1543" width="12.85546875" style="76" bestFit="1" customWidth="1"/>
    <col min="1544" max="1544" width="27.85546875" style="76" customWidth="1"/>
    <col min="1545" max="1545" width="0" style="76" hidden="1" customWidth="1"/>
    <col min="1546" max="1546" width="19.7109375" style="76" customWidth="1"/>
    <col min="1547" max="1547" width="10.28515625" style="76" customWidth="1"/>
    <col min="1548" max="1548" width="10.5703125" style="76" bestFit="1" customWidth="1"/>
    <col min="1549" max="1549" width="61.5703125" style="76" customWidth="1"/>
    <col min="1550" max="1550" width="20.7109375" style="76" bestFit="1" customWidth="1"/>
    <col min="1551" max="1792" width="9.140625" style="76"/>
    <col min="1793" max="1793" width="7.140625" style="76" customWidth="1"/>
    <col min="1794" max="1794" width="35.7109375" style="76" customWidth="1"/>
    <col min="1795" max="1795" width="35.85546875" style="76" customWidth="1"/>
    <col min="1796" max="1797" width="18" style="76" bestFit="1" customWidth="1"/>
    <col min="1798" max="1798" width="16.7109375" style="76" bestFit="1" customWidth="1"/>
    <col min="1799" max="1799" width="12.85546875" style="76" bestFit="1" customWidth="1"/>
    <col min="1800" max="1800" width="27.85546875" style="76" customWidth="1"/>
    <col min="1801" max="1801" width="0" style="76" hidden="1" customWidth="1"/>
    <col min="1802" max="1802" width="19.7109375" style="76" customWidth="1"/>
    <col min="1803" max="1803" width="10.28515625" style="76" customWidth="1"/>
    <col min="1804" max="1804" width="10.5703125" style="76" bestFit="1" customWidth="1"/>
    <col min="1805" max="1805" width="61.5703125" style="76" customWidth="1"/>
    <col min="1806" max="1806" width="20.7109375" style="76" bestFit="1" customWidth="1"/>
    <col min="1807" max="2048" width="9.140625" style="76"/>
    <col min="2049" max="2049" width="7.140625" style="76" customWidth="1"/>
    <col min="2050" max="2050" width="35.7109375" style="76" customWidth="1"/>
    <col min="2051" max="2051" width="35.85546875" style="76" customWidth="1"/>
    <col min="2052" max="2053" width="18" style="76" bestFit="1" customWidth="1"/>
    <col min="2054" max="2054" width="16.7109375" style="76" bestFit="1" customWidth="1"/>
    <col min="2055" max="2055" width="12.85546875" style="76" bestFit="1" customWidth="1"/>
    <col min="2056" max="2056" width="27.85546875" style="76" customWidth="1"/>
    <col min="2057" max="2057" width="0" style="76" hidden="1" customWidth="1"/>
    <col min="2058" max="2058" width="19.7109375" style="76" customWidth="1"/>
    <col min="2059" max="2059" width="10.28515625" style="76" customWidth="1"/>
    <col min="2060" max="2060" width="10.5703125" style="76" bestFit="1" customWidth="1"/>
    <col min="2061" max="2061" width="61.5703125" style="76" customWidth="1"/>
    <col min="2062" max="2062" width="20.7109375" style="76" bestFit="1" customWidth="1"/>
    <col min="2063" max="2304" width="9.140625" style="76"/>
    <col min="2305" max="2305" width="7.140625" style="76" customWidth="1"/>
    <col min="2306" max="2306" width="35.7109375" style="76" customWidth="1"/>
    <col min="2307" max="2307" width="35.85546875" style="76" customWidth="1"/>
    <col min="2308" max="2309" width="18" style="76" bestFit="1" customWidth="1"/>
    <col min="2310" max="2310" width="16.7109375" style="76" bestFit="1" customWidth="1"/>
    <col min="2311" max="2311" width="12.85546875" style="76" bestFit="1" customWidth="1"/>
    <col min="2312" max="2312" width="27.85546875" style="76" customWidth="1"/>
    <col min="2313" max="2313" width="0" style="76" hidden="1" customWidth="1"/>
    <col min="2314" max="2314" width="19.7109375" style="76" customWidth="1"/>
    <col min="2315" max="2315" width="10.28515625" style="76" customWidth="1"/>
    <col min="2316" max="2316" width="10.5703125" style="76" bestFit="1" customWidth="1"/>
    <col min="2317" max="2317" width="61.5703125" style="76" customWidth="1"/>
    <col min="2318" max="2318" width="20.7109375" style="76" bestFit="1" customWidth="1"/>
    <col min="2319" max="2560" width="9.140625" style="76"/>
    <col min="2561" max="2561" width="7.140625" style="76" customWidth="1"/>
    <col min="2562" max="2562" width="35.7109375" style="76" customWidth="1"/>
    <col min="2563" max="2563" width="35.85546875" style="76" customWidth="1"/>
    <col min="2564" max="2565" width="18" style="76" bestFit="1" customWidth="1"/>
    <col min="2566" max="2566" width="16.7109375" style="76" bestFit="1" customWidth="1"/>
    <col min="2567" max="2567" width="12.85546875" style="76" bestFit="1" customWidth="1"/>
    <col min="2568" max="2568" width="27.85546875" style="76" customWidth="1"/>
    <col min="2569" max="2569" width="0" style="76" hidden="1" customWidth="1"/>
    <col min="2570" max="2570" width="19.7109375" style="76" customWidth="1"/>
    <col min="2571" max="2571" width="10.28515625" style="76" customWidth="1"/>
    <col min="2572" max="2572" width="10.5703125" style="76" bestFit="1" customWidth="1"/>
    <col min="2573" max="2573" width="61.5703125" style="76" customWidth="1"/>
    <col min="2574" max="2574" width="20.7109375" style="76" bestFit="1" customWidth="1"/>
    <col min="2575" max="2816" width="9.140625" style="76"/>
    <col min="2817" max="2817" width="7.140625" style="76" customWidth="1"/>
    <col min="2818" max="2818" width="35.7109375" style="76" customWidth="1"/>
    <col min="2819" max="2819" width="35.85546875" style="76" customWidth="1"/>
    <col min="2820" max="2821" width="18" style="76" bestFit="1" customWidth="1"/>
    <col min="2822" max="2822" width="16.7109375" style="76" bestFit="1" customWidth="1"/>
    <col min="2823" max="2823" width="12.85546875" style="76" bestFit="1" customWidth="1"/>
    <col min="2824" max="2824" width="27.85546875" style="76" customWidth="1"/>
    <col min="2825" max="2825" width="0" style="76" hidden="1" customWidth="1"/>
    <col min="2826" max="2826" width="19.7109375" style="76" customWidth="1"/>
    <col min="2827" max="2827" width="10.28515625" style="76" customWidth="1"/>
    <col min="2828" max="2828" width="10.5703125" style="76" bestFit="1" customWidth="1"/>
    <col min="2829" max="2829" width="61.5703125" style="76" customWidth="1"/>
    <col min="2830" max="2830" width="20.7109375" style="76" bestFit="1" customWidth="1"/>
    <col min="2831" max="3072" width="9.140625" style="76"/>
    <col min="3073" max="3073" width="7.140625" style="76" customWidth="1"/>
    <col min="3074" max="3074" width="35.7109375" style="76" customWidth="1"/>
    <col min="3075" max="3075" width="35.85546875" style="76" customWidth="1"/>
    <col min="3076" max="3077" width="18" style="76" bestFit="1" customWidth="1"/>
    <col min="3078" max="3078" width="16.7109375" style="76" bestFit="1" customWidth="1"/>
    <col min="3079" max="3079" width="12.85546875" style="76" bestFit="1" customWidth="1"/>
    <col min="3080" max="3080" width="27.85546875" style="76" customWidth="1"/>
    <col min="3081" max="3081" width="0" style="76" hidden="1" customWidth="1"/>
    <col min="3082" max="3082" width="19.7109375" style="76" customWidth="1"/>
    <col min="3083" max="3083" width="10.28515625" style="76" customWidth="1"/>
    <col min="3084" max="3084" width="10.5703125" style="76" bestFit="1" customWidth="1"/>
    <col min="3085" max="3085" width="61.5703125" style="76" customWidth="1"/>
    <col min="3086" max="3086" width="20.7109375" style="76" bestFit="1" customWidth="1"/>
    <col min="3087" max="3328" width="9.140625" style="76"/>
    <col min="3329" max="3329" width="7.140625" style="76" customWidth="1"/>
    <col min="3330" max="3330" width="35.7109375" style="76" customWidth="1"/>
    <col min="3331" max="3331" width="35.85546875" style="76" customWidth="1"/>
    <col min="3332" max="3333" width="18" style="76" bestFit="1" customWidth="1"/>
    <col min="3334" max="3334" width="16.7109375" style="76" bestFit="1" customWidth="1"/>
    <col min="3335" max="3335" width="12.85546875" style="76" bestFit="1" customWidth="1"/>
    <col min="3336" max="3336" width="27.85546875" style="76" customWidth="1"/>
    <col min="3337" max="3337" width="0" style="76" hidden="1" customWidth="1"/>
    <col min="3338" max="3338" width="19.7109375" style="76" customWidth="1"/>
    <col min="3339" max="3339" width="10.28515625" style="76" customWidth="1"/>
    <col min="3340" max="3340" width="10.5703125" style="76" bestFit="1" customWidth="1"/>
    <col min="3341" max="3341" width="61.5703125" style="76" customWidth="1"/>
    <col min="3342" max="3342" width="20.7109375" style="76" bestFit="1" customWidth="1"/>
    <col min="3343" max="3584" width="9.140625" style="76"/>
    <col min="3585" max="3585" width="7.140625" style="76" customWidth="1"/>
    <col min="3586" max="3586" width="35.7109375" style="76" customWidth="1"/>
    <col min="3587" max="3587" width="35.85546875" style="76" customWidth="1"/>
    <col min="3588" max="3589" width="18" style="76" bestFit="1" customWidth="1"/>
    <col min="3590" max="3590" width="16.7109375" style="76" bestFit="1" customWidth="1"/>
    <col min="3591" max="3591" width="12.85546875" style="76" bestFit="1" customWidth="1"/>
    <col min="3592" max="3592" width="27.85546875" style="76" customWidth="1"/>
    <col min="3593" max="3593" width="0" style="76" hidden="1" customWidth="1"/>
    <col min="3594" max="3594" width="19.7109375" style="76" customWidth="1"/>
    <col min="3595" max="3595" width="10.28515625" style="76" customWidth="1"/>
    <col min="3596" max="3596" width="10.5703125" style="76" bestFit="1" customWidth="1"/>
    <col min="3597" max="3597" width="61.5703125" style="76" customWidth="1"/>
    <col min="3598" max="3598" width="20.7109375" style="76" bestFit="1" customWidth="1"/>
    <col min="3599" max="3840" width="9.140625" style="76"/>
    <col min="3841" max="3841" width="7.140625" style="76" customWidth="1"/>
    <col min="3842" max="3842" width="35.7109375" style="76" customWidth="1"/>
    <col min="3843" max="3843" width="35.85546875" style="76" customWidth="1"/>
    <col min="3844" max="3845" width="18" style="76" bestFit="1" customWidth="1"/>
    <col min="3846" max="3846" width="16.7109375" style="76" bestFit="1" customWidth="1"/>
    <col min="3847" max="3847" width="12.85546875" style="76" bestFit="1" customWidth="1"/>
    <col min="3848" max="3848" width="27.85546875" style="76" customWidth="1"/>
    <col min="3849" max="3849" width="0" style="76" hidden="1" customWidth="1"/>
    <col min="3850" max="3850" width="19.7109375" style="76" customWidth="1"/>
    <col min="3851" max="3851" width="10.28515625" style="76" customWidth="1"/>
    <col min="3852" max="3852" width="10.5703125" style="76" bestFit="1" customWidth="1"/>
    <col min="3853" max="3853" width="61.5703125" style="76" customWidth="1"/>
    <col min="3854" max="3854" width="20.7109375" style="76" bestFit="1" customWidth="1"/>
    <col min="3855" max="4096" width="9.140625" style="76"/>
    <col min="4097" max="4097" width="7.140625" style="76" customWidth="1"/>
    <col min="4098" max="4098" width="35.7109375" style="76" customWidth="1"/>
    <col min="4099" max="4099" width="35.85546875" style="76" customWidth="1"/>
    <col min="4100" max="4101" width="18" style="76" bestFit="1" customWidth="1"/>
    <col min="4102" max="4102" width="16.7109375" style="76" bestFit="1" customWidth="1"/>
    <col min="4103" max="4103" width="12.85546875" style="76" bestFit="1" customWidth="1"/>
    <col min="4104" max="4104" width="27.85546875" style="76" customWidth="1"/>
    <col min="4105" max="4105" width="0" style="76" hidden="1" customWidth="1"/>
    <col min="4106" max="4106" width="19.7109375" style="76" customWidth="1"/>
    <col min="4107" max="4107" width="10.28515625" style="76" customWidth="1"/>
    <col min="4108" max="4108" width="10.5703125" style="76" bestFit="1" customWidth="1"/>
    <col min="4109" max="4109" width="61.5703125" style="76" customWidth="1"/>
    <col min="4110" max="4110" width="20.7109375" style="76" bestFit="1" customWidth="1"/>
    <col min="4111" max="4352" width="9.140625" style="76"/>
    <col min="4353" max="4353" width="7.140625" style="76" customWidth="1"/>
    <col min="4354" max="4354" width="35.7109375" style="76" customWidth="1"/>
    <col min="4355" max="4355" width="35.85546875" style="76" customWidth="1"/>
    <col min="4356" max="4357" width="18" style="76" bestFit="1" customWidth="1"/>
    <col min="4358" max="4358" width="16.7109375" style="76" bestFit="1" customWidth="1"/>
    <col min="4359" max="4359" width="12.85546875" style="76" bestFit="1" customWidth="1"/>
    <col min="4360" max="4360" width="27.85546875" style="76" customWidth="1"/>
    <col min="4361" max="4361" width="0" style="76" hidden="1" customWidth="1"/>
    <col min="4362" max="4362" width="19.7109375" style="76" customWidth="1"/>
    <col min="4363" max="4363" width="10.28515625" style="76" customWidth="1"/>
    <col min="4364" max="4364" width="10.5703125" style="76" bestFit="1" customWidth="1"/>
    <col min="4365" max="4365" width="61.5703125" style="76" customWidth="1"/>
    <col min="4366" max="4366" width="20.7109375" style="76" bestFit="1" customWidth="1"/>
    <col min="4367" max="4608" width="9.140625" style="76"/>
    <col min="4609" max="4609" width="7.140625" style="76" customWidth="1"/>
    <col min="4610" max="4610" width="35.7109375" style="76" customWidth="1"/>
    <col min="4611" max="4611" width="35.85546875" style="76" customWidth="1"/>
    <col min="4612" max="4613" width="18" style="76" bestFit="1" customWidth="1"/>
    <col min="4614" max="4614" width="16.7109375" style="76" bestFit="1" customWidth="1"/>
    <col min="4615" max="4615" width="12.85546875" style="76" bestFit="1" customWidth="1"/>
    <col min="4616" max="4616" width="27.85546875" style="76" customWidth="1"/>
    <col min="4617" max="4617" width="0" style="76" hidden="1" customWidth="1"/>
    <col min="4618" max="4618" width="19.7109375" style="76" customWidth="1"/>
    <col min="4619" max="4619" width="10.28515625" style="76" customWidth="1"/>
    <col min="4620" max="4620" width="10.5703125" style="76" bestFit="1" customWidth="1"/>
    <col min="4621" max="4621" width="61.5703125" style="76" customWidth="1"/>
    <col min="4622" max="4622" width="20.7109375" style="76" bestFit="1" customWidth="1"/>
    <col min="4623" max="4864" width="9.140625" style="76"/>
    <col min="4865" max="4865" width="7.140625" style="76" customWidth="1"/>
    <col min="4866" max="4866" width="35.7109375" style="76" customWidth="1"/>
    <col min="4867" max="4867" width="35.85546875" style="76" customWidth="1"/>
    <col min="4868" max="4869" width="18" style="76" bestFit="1" customWidth="1"/>
    <col min="4870" max="4870" width="16.7109375" style="76" bestFit="1" customWidth="1"/>
    <col min="4871" max="4871" width="12.85546875" style="76" bestFit="1" customWidth="1"/>
    <col min="4872" max="4872" width="27.85546875" style="76" customWidth="1"/>
    <col min="4873" max="4873" width="0" style="76" hidden="1" customWidth="1"/>
    <col min="4874" max="4874" width="19.7109375" style="76" customWidth="1"/>
    <col min="4875" max="4875" width="10.28515625" style="76" customWidth="1"/>
    <col min="4876" max="4876" width="10.5703125" style="76" bestFit="1" customWidth="1"/>
    <col min="4877" max="4877" width="61.5703125" style="76" customWidth="1"/>
    <col min="4878" max="4878" width="20.7109375" style="76" bestFit="1" customWidth="1"/>
    <col min="4879" max="5120" width="9.140625" style="76"/>
    <col min="5121" max="5121" width="7.140625" style="76" customWidth="1"/>
    <col min="5122" max="5122" width="35.7109375" style="76" customWidth="1"/>
    <col min="5123" max="5123" width="35.85546875" style="76" customWidth="1"/>
    <col min="5124" max="5125" width="18" style="76" bestFit="1" customWidth="1"/>
    <col min="5126" max="5126" width="16.7109375" style="76" bestFit="1" customWidth="1"/>
    <col min="5127" max="5127" width="12.85546875" style="76" bestFit="1" customWidth="1"/>
    <col min="5128" max="5128" width="27.85546875" style="76" customWidth="1"/>
    <col min="5129" max="5129" width="0" style="76" hidden="1" customWidth="1"/>
    <col min="5130" max="5130" width="19.7109375" style="76" customWidth="1"/>
    <col min="5131" max="5131" width="10.28515625" style="76" customWidth="1"/>
    <col min="5132" max="5132" width="10.5703125" style="76" bestFit="1" customWidth="1"/>
    <col min="5133" max="5133" width="61.5703125" style="76" customWidth="1"/>
    <col min="5134" max="5134" width="20.7109375" style="76" bestFit="1" customWidth="1"/>
    <col min="5135" max="5376" width="9.140625" style="76"/>
    <col min="5377" max="5377" width="7.140625" style="76" customWidth="1"/>
    <col min="5378" max="5378" width="35.7109375" style="76" customWidth="1"/>
    <col min="5379" max="5379" width="35.85546875" style="76" customWidth="1"/>
    <col min="5380" max="5381" width="18" style="76" bestFit="1" customWidth="1"/>
    <col min="5382" max="5382" width="16.7109375" style="76" bestFit="1" customWidth="1"/>
    <col min="5383" max="5383" width="12.85546875" style="76" bestFit="1" customWidth="1"/>
    <col min="5384" max="5384" width="27.85546875" style="76" customWidth="1"/>
    <col min="5385" max="5385" width="0" style="76" hidden="1" customWidth="1"/>
    <col min="5386" max="5386" width="19.7109375" style="76" customWidth="1"/>
    <col min="5387" max="5387" width="10.28515625" style="76" customWidth="1"/>
    <col min="5388" max="5388" width="10.5703125" style="76" bestFit="1" customWidth="1"/>
    <col min="5389" max="5389" width="61.5703125" style="76" customWidth="1"/>
    <col min="5390" max="5390" width="20.7109375" style="76" bestFit="1" customWidth="1"/>
    <col min="5391" max="5632" width="9.140625" style="76"/>
    <col min="5633" max="5633" width="7.140625" style="76" customWidth="1"/>
    <col min="5634" max="5634" width="35.7109375" style="76" customWidth="1"/>
    <col min="5635" max="5635" width="35.85546875" style="76" customWidth="1"/>
    <col min="5636" max="5637" width="18" style="76" bestFit="1" customWidth="1"/>
    <col min="5638" max="5638" width="16.7109375" style="76" bestFit="1" customWidth="1"/>
    <col min="5639" max="5639" width="12.85546875" style="76" bestFit="1" customWidth="1"/>
    <col min="5640" max="5640" width="27.85546875" style="76" customWidth="1"/>
    <col min="5641" max="5641" width="0" style="76" hidden="1" customWidth="1"/>
    <col min="5642" max="5642" width="19.7109375" style="76" customWidth="1"/>
    <col min="5643" max="5643" width="10.28515625" style="76" customWidth="1"/>
    <col min="5644" max="5644" width="10.5703125" style="76" bestFit="1" customWidth="1"/>
    <col min="5645" max="5645" width="61.5703125" style="76" customWidth="1"/>
    <col min="5646" max="5646" width="20.7109375" style="76" bestFit="1" customWidth="1"/>
    <col min="5647" max="5888" width="9.140625" style="76"/>
    <col min="5889" max="5889" width="7.140625" style="76" customWidth="1"/>
    <col min="5890" max="5890" width="35.7109375" style="76" customWidth="1"/>
    <col min="5891" max="5891" width="35.85546875" style="76" customWidth="1"/>
    <col min="5892" max="5893" width="18" style="76" bestFit="1" customWidth="1"/>
    <col min="5894" max="5894" width="16.7109375" style="76" bestFit="1" customWidth="1"/>
    <col min="5895" max="5895" width="12.85546875" style="76" bestFit="1" customWidth="1"/>
    <col min="5896" max="5896" width="27.85546875" style="76" customWidth="1"/>
    <col min="5897" max="5897" width="0" style="76" hidden="1" customWidth="1"/>
    <col min="5898" max="5898" width="19.7109375" style="76" customWidth="1"/>
    <col min="5899" max="5899" width="10.28515625" style="76" customWidth="1"/>
    <col min="5900" max="5900" width="10.5703125" style="76" bestFit="1" customWidth="1"/>
    <col min="5901" max="5901" width="61.5703125" style="76" customWidth="1"/>
    <col min="5902" max="5902" width="20.7109375" style="76" bestFit="1" customWidth="1"/>
    <col min="5903" max="6144" width="9.140625" style="76"/>
    <col min="6145" max="6145" width="7.140625" style="76" customWidth="1"/>
    <col min="6146" max="6146" width="35.7109375" style="76" customWidth="1"/>
    <col min="6147" max="6147" width="35.85546875" style="76" customWidth="1"/>
    <col min="6148" max="6149" width="18" style="76" bestFit="1" customWidth="1"/>
    <col min="6150" max="6150" width="16.7109375" style="76" bestFit="1" customWidth="1"/>
    <col min="6151" max="6151" width="12.85546875" style="76" bestFit="1" customWidth="1"/>
    <col min="6152" max="6152" width="27.85546875" style="76" customWidth="1"/>
    <col min="6153" max="6153" width="0" style="76" hidden="1" customWidth="1"/>
    <col min="6154" max="6154" width="19.7109375" style="76" customWidth="1"/>
    <col min="6155" max="6155" width="10.28515625" style="76" customWidth="1"/>
    <col min="6156" max="6156" width="10.5703125" style="76" bestFit="1" customWidth="1"/>
    <col min="6157" max="6157" width="61.5703125" style="76" customWidth="1"/>
    <col min="6158" max="6158" width="20.7109375" style="76" bestFit="1" customWidth="1"/>
    <col min="6159" max="6400" width="9.140625" style="76"/>
    <col min="6401" max="6401" width="7.140625" style="76" customWidth="1"/>
    <col min="6402" max="6402" width="35.7109375" style="76" customWidth="1"/>
    <col min="6403" max="6403" width="35.85546875" style="76" customWidth="1"/>
    <col min="6404" max="6405" width="18" style="76" bestFit="1" customWidth="1"/>
    <col min="6406" max="6406" width="16.7109375" style="76" bestFit="1" customWidth="1"/>
    <col min="6407" max="6407" width="12.85546875" style="76" bestFit="1" customWidth="1"/>
    <col min="6408" max="6408" width="27.85546875" style="76" customWidth="1"/>
    <col min="6409" max="6409" width="0" style="76" hidden="1" customWidth="1"/>
    <col min="6410" max="6410" width="19.7109375" style="76" customWidth="1"/>
    <col min="6411" max="6411" width="10.28515625" style="76" customWidth="1"/>
    <col min="6412" max="6412" width="10.5703125" style="76" bestFit="1" customWidth="1"/>
    <col min="6413" max="6413" width="61.5703125" style="76" customWidth="1"/>
    <col min="6414" max="6414" width="20.7109375" style="76" bestFit="1" customWidth="1"/>
    <col min="6415" max="6656" width="9.140625" style="76"/>
    <col min="6657" max="6657" width="7.140625" style="76" customWidth="1"/>
    <col min="6658" max="6658" width="35.7109375" style="76" customWidth="1"/>
    <col min="6659" max="6659" width="35.85546875" style="76" customWidth="1"/>
    <col min="6660" max="6661" width="18" style="76" bestFit="1" customWidth="1"/>
    <col min="6662" max="6662" width="16.7109375" style="76" bestFit="1" customWidth="1"/>
    <col min="6663" max="6663" width="12.85546875" style="76" bestFit="1" customWidth="1"/>
    <col min="6664" max="6664" width="27.85546875" style="76" customWidth="1"/>
    <col min="6665" max="6665" width="0" style="76" hidden="1" customWidth="1"/>
    <col min="6666" max="6666" width="19.7109375" style="76" customWidth="1"/>
    <col min="6667" max="6667" width="10.28515625" style="76" customWidth="1"/>
    <col min="6668" max="6668" width="10.5703125" style="76" bestFit="1" customWidth="1"/>
    <col min="6669" max="6669" width="61.5703125" style="76" customWidth="1"/>
    <col min="6670" max="6670" width="20.7109375" style="76" bestFit="1" customWidth="1"/>
    <col min="6671" max="6912" width="9.140625" style="76"/>
    <col min="6913" max="6913" width="7.140625" style="76" customWidth="1"/>
    <col min="6914" max="6914" width="35.7109375" style="76" customWidth="1"/>
    <col min="6915" max="6915" width="35.85546875" style="76" customWidth="1"/>
    <col min="6916" max="6917" width="18" style="76" bestFit="1" customWidth="1"/>
    <col min="6918" max="6918" width="16.7109375" style="76" bestFit="1" customWidth="1"/>
    <col min="6919" max="6919" width="12.85546875" style="76" bestFit="1" customWidth="1"/>
    <col min="6920" max="6920" width="27.85546875" style="76" customWidth="1"/>
    <col min="6921" max="6921" width="0" style="76" hidden="1" customWidth="1"/>
    <col min="6922" max="6922" width="19.7109375" style="76" customWidth="1"/>
    <col min="6923" max="6923" width="10.28515625" style="76" customWidth="1"/>
    <col min="6924" max="6924" width="10.5703125" style="76" bestFit="1" customWidth="1"/>
    <col min="6925" max="6925" width="61.5703125" style="76" customWidth="1"/>
    <col min="6926" max="6926" width="20.7109375" style="76" bestFit="1" customWidth="1"/>
    <col min="6927" max="7168" width="9.140625" style="76"/>
    <col min="7169" max="7169" width="7.140625" style="76" customWidth="1"/>
    <col min="7170" max="7170" width="35.7109375" style="76" customWidth="1"/>
    <col min="7171" max="7171" width="35.85546875" style="76" customWidth="1"/>
    <col min="7172" max="7173" width="18" style="76" bestFit="1" customWidth="1"/>
    <col min="7174" max="7174" width="16.7109375" style="76" bestFit="1" customWidth="1"/>
    <col min="7175" max="7175" width="12.85546875" style="76" bestFit="1" customWidth="1"/>
    <col min="7176" max="7176" width="27.85546875" style="76" customWidth="1"/>
    <col min="7177" max="7177" width="0" style="76" hidden="1" customWidth="1"/>
    <col min="7178" max="7178" width="19.7109375" style="76" customWidth="1"/>
    <col min="7179" max="7179" width="10.28515625" style="76" customWidth="1"/>
    <col min="7180" max="7180" width="10.5703125" style="76" bestFit="1" customWidth="1"/>
    <col min="7181" max="7181" width="61.5703125" style="76" customWidth="1"/>
    <col min="7182" max="7182" width="20.7109375" style="76" bestFit="1" customWidth="1"/>
    <col min="7183" max="7424" width="9.140625" style="76"/>
    <col min="7425" max="7425" width="7.140625" style="76" customWidth="1"/>
    <col min="7426" max="7426" width="35.7109375" style="76" customWidth="1"/>
    <col min="7427" max="7427" width="35.85546875" style="76" customWidth="1"/>
    <col min="7428" max="7429" width="18" style="76" bestFit="1" customWidth="1"/>
    <col min="7430" max="7430" width="16.7109375" style="76" bestFit="1" customWidth="1"/>
    <col min="7431" max="7431" width="12.85546875" style="76" bestFit="1" customWidth="1"/>
    <col min="7432" max="7432" width="27.85546875" style="76" customWidth="1"/>
    <col min="7433" max="7433" width="0" style="76" hidden="1" customWidth="1"/>
    <col min="7434" max="7434" width="19.7109375" style="76" customWidth="1"/>
    <col min="7435" max="7435" width="10.28515625" style="76" customWidth="1"/>
    <col min="7436" max="7436" width="10.5703125" style="76" bestFit="1" customWidth="1"/>
    <col min="7437" max="7437" width="61.5703125" style="76" customWidth="1"/>
    <col min="7438" max="7438" width="20.7109375" style="76" bestFit="1" customWidth="1"/>
    <col min="7439" max="7680" width="9.140625" style="76"/>
    <col min="7681" max="7681" width="7.140625" style="76" customWidth="1"/>
    <col min="7682" max="7682" width="35.7109375" style="76" customWidth="1"/>
    <col min="7683" max="7683" width="35.85546875" style="76" customWidth="1"/>
    <col min="7684" max="7685" width="18" style="76" bestFit="1" customWidth="1"/>
    <col min="7686" max="7686" width="16.7109375" style="76" bestFit="1" customWidth="1"/>
    <col min="7687" max="7687" width="12.85546875" style="76" bestFit="1" customWidth="1"/>
    <col min="7688" max="7688" width="27.85546875" style="76" customWidth="1"/>
    <col min="7689" max="7689" width="0" style="76" hidden="1" customWidth="1"/>
    <col min="7690" max="7690" width="19.7109375" style="76" customWidth="1"/>
    <col min="7691" max="7691" width="10.28515625" style="76" customWidth="1"/>
    <col min="7692" max="7692" width="10.5703125" style="76" bestFit="1" customWidth="1"/>
    <col min="7693" max="7693" width="61.5703125" style="76" customWidth="1"/>
    <col min="7694" max="7694" width="20.7109375" style="76" bestFit="1" customWidth="1"/>
    <col min="7695" max="7936" width="9.140625" style="76"/>
    <col min="7937" max="7937" width="7.140625" style="76" customWidth="1"/>
    <col min="7938" max="7938" width="35.7109375" style="76" customWidth="1"/>
    <col min="7939" max="7939" width="35.85546875" style="76" customWidth="1"/>
    <col min="7940" max="7941" width="18" style="76" bestFit="1" customWidth="1"/>
    <col min="7942" max="7942" width="16.7109375" style="76" bestFit="1" customWidth="1"/>
    <col min="7943" max="7943" width="12.85546875" style="76" bestFit="1" customWidth="1"/>
    <col min="7944" max="7944" width="27.85546875" style="76" customWidth="1"/>
    <col min="7945" max="7945" width="0" style="76" hidden="1" customWidth="1"/>
    <col min="7946" max="7946" width="19.7109375" style="76" customWidth="1"/>
    <col min="7947" max="7947" width="10.28515625" style="76" customWidth="1"/>
    <col min="7948" max="7948" width="10.5703125" style="76" bestFit="1" customWidth="1"/>
    <col min="7949" max="7949" width="61.5703125" style="76" customWidth="1"/>
    <col min="7950" max="7950" width="20.7109375" style="76" bestFit="1" customWidth="1"/>
    <col min="7951" max="8192" width="9.140625" style="76"/>
    <col min="8193" max="8193" width="7.140625" style="76" customWidth="1"/>
    <col min="8194" max="8194" width="35.7109375" style="76" customWidth="1"/>
    <col min="8195" max="8195" width="35.85546875" style="76" customWidth="1"/>
    <col min="8196" max="8197" width="18" style="76" bestFit="1" customWidth="1"/>
    <col min="8198" max="8198" width="16.7109375" style="76" bestFit="1" customWidth="1"/>
    <col min="8199" max="8199" width="12.85546875" style="76" bestFit="1" customWidth="1"/>
    <col min="8200" max="8200" width="27.85546875" style="76" customWidth="1"/>
    <col min="8201" max="8201" width="0" style="76" hidden="1" customWidth="1"/>
    <col min="8202" max="8202" width="19.7109375" style="76" customWidth="1"/>
    <col min="8203" max="8203" width="10.28515625" style="76" customWidth="1"/>
    <col min="8204" max="8204" width="10.5703125" style="76" bestFit="1" customWidth="1"/>
    <col min="8205" max="8205" width="61.5703125" style="76" customWidth="1"/>
    <col min="8206" max="8206" width="20.7109375" style="76" bestFit="1" customWidth="1"/>
    <col min="8207" max="8448" width="9.140625" style="76"/>
    <col min="8449" max="8449" width="7.140625" style="76" customWidth="1"/>
    <col min="8450" max="8450" width="35.7109375" style="76" customWidth="1"/>
    <col min="8451" max="8451" width="35.85546875" style="76" customWidth="1"/>
    <col min="8452" max="8453" width="18" style="76" bestFit="1" customWidth="1"/>
    <col min="8454" max="8454" width="16.7109375" style="76" bestFit="1" customWidth="1"/>
    <col min="8455" max="8455" width="12.85546875" style="76" bestFit="1" customWidth="1"/>
    <col min="8456" max="8456" width="27.85546875" style="76" customWidth="1"/>
    <col min="8457" max="8457" width="0" style="76" hidden="1" customWidth="1"/>
    <col min="8458" max="8458" width="19.7109375" style="76" customWidth="1"/>
    <col min="8459" max="8459" width="10.28515625" style="76" customWidth="1"/>
    <col min="8460" max="8460" width="10.5703125" style="76" bestFit="1" customWidth="1"/>
    <col min="8461" max="8461" width="61.5703125" style="76" customWidth="1"/>
    <col min="8462" max="8462" width="20.7109375" style="76" bestFit="1" customWidth="1"/>
    <col min="8463" max="8704" width="9.140625" style="76"/>
    <col min="8705" max="8705" width="7.140625" style="76" customWidth="1"/>
    <col min="8706" max="8706" width="35.7109375" style="76" customWidth="1"/>
    <col min="8707" max="8707" width="35.85546875" style="76" customWidth="1"/>
    <col min="8708" max="8709" width="18" style="76" bestFit="1" customWidth="1"/>
    <col min="8710" max="8710" width="16.7109375" style="76" bestFit="1" customWidth="1"/>
    <col min="8711" max="8711" width="12.85546875" style="76" bestFit="1" customWidth="1"/>
    <col min="8712" max="8712" width="27.85546875" style="76" customWidth="1"/>
    <col min="8713" max="8713" width="0" style="76" hidden="1" customWidth="1"/>
    <col min="8714" max="8714" width="19.7109375" style="76" customWidth="1"/>
    <col min="8715" max="8715" width="10.28515625" style="76" customWidth="1"/>
    <col min="8716" max="8716" width="10.5703125" style="76" bestFit="1" customWidth="1"/>
    <col min="8717" max="8717" width="61.5703125" style="76" customWidth="1"/>
    <col min="8718" max="8718" width="20.7109375" style="76" bestFit="1" customWidth="1"/>
    <col min="8719" max="8960" width="9.140625" style="76"/>
    <col min="8961" max="8961" width="7.140625" style="76" customWidth="1"/>
    <col min="8962" max="8962" width="35.7109375" style="76" customWidth="1"/>
    <col min="8963" max="8963" width="35.85546875" style="76" customWidth="1"/>
    <col min="8964" max="8965" width="18" style="76" bestFit="1" customWidth="1"/>
    <col min="8966" max="8966" width="16.7109375" style="76" bestFit="1" customWidth="1"/>
    <col min="8967" max="8967" width="12.85546875" style="76" bestFit="1" customWidth="1"/>
    <col min="8968" max="8968" width="27.85546875" style="76" customWidth="1"/>
    <col min="8969" max="8969" width="0" style="76" hidden="1" customWidth="1"/>
    <col min="8970" max="8970" width="19.7109375" style="76" customWidth="1"/>
    <col min="8971" max="8971" width="10.28515625" style="76" customWidth="1"/>
    <col min="8972" max="8972" width="10.5703125" style="76" bestFit="1" customWidth="1"/>
    <col min="8973" max="8973" width="61.5703125" style="76" customWidth="1"/>
    <col min="8974" max="8974" width="20.7109375" style="76" bestFit="1" customWidth="1"/>
    <col min="8975" max="9216" width="9.140625" style="76"/>
    <col min="9217" max="9217" width="7.140625" style="76" customWidth="1"/>
    <col min="9218" max="9218" width="35.7109375" style="76" customWidth="1"/>
    <col min="9219" max="9219" width="35.85546875" style="76" customWidth="1"/>
    <col min="9220" max="9221" width="18" style="76" bestFit="1" customWidth="1"/>
    <col min="9222" max="9222" width="16.7109375" style="76" bestFit="1" customWidth="1"/>
    <col min="9223" max="9223" width="12.85546875" style="76" bestFit="1" customWidth="1"/>
    <col min="9224" max="9224" width="27.85546875" style="76" customWidth="1"/>
    <col min="9225" max="9225" width="0" style="76" hidden="1" customWidth="1"/>
    <col min="9226" max="9226" width="19.7109375" style="76" customWidth="1"/>
    <col min="9227" max="9227" width="10.28515625" style="76" customWidth="1"/>
    <col min="9228" max="9228" width="10.5703125" style="76" bestFit="1" customWidth="1"/>
    <col min="9229" max="9229" width="61.5703125" style="76" customWidth="1"/>
    <col min="9230" max="9230" width="20.7109375" style="76" bestFit="1" customWidth="1"/>
    <col min="9231" max="9472" width="9.140625" style="76"/>
    <col min="9473" max="9473" width="7.140625" style="76" customWidth="1"/>
    <col min="9474" max="9474" width="35.7109375" style="76" customWidth="1"/>
    <col min="9475" max="9475" width="35.85546875" style="76" customWidth="1"/>
    <col min="9476" max="9477" width="18" style="76" bestFit="1" customWidth="1"/>
    <col min="9478" max="9478" width="16.7109375" style="76" bestFit="1" customWidth="1"/>
    <col min="9479" max="9479" width="12.85546875" style="76" bestFit="1" customWidth="1"/>
    <col min="9480" max="9480" width="27.85546875" style="76" customWidth="1"/>
    <col min="9481" max="9481" width="0" style="76" hidden="1" customWidth="1"/>
    <col min="9482" max="9482" width="19.7109375" style="76" customWidth="1"/>
    <col min="9483" max="9483" width="10.28515625" style="76" customWidth="1"/>
    <col min="9484" max="9484" width="10.5703125" style="76" bestFit="1" customWidth="1"/>
    <col min="9485" max="9485" width="61.5703125" style="76" customWidth="1"/>
    <col min="9486" max="9486" width="20.7109375" style="76" bestFit="1" customWidth="1"/>
    <col min="9487" max="9728" width="9.140625" style="76"/>
    <col min="9729" max="9729" width="7.140625" style="76" customWidth="1"/>
    <col min="9730" max="9730" width="35.7109375" style="76" customWidth="1"/>
    <col min="9731" max="9731" width="35.85546875" style="76" customWidth="1"/>
    <col min="9732" max="9733" width="18" style="76" bestFit="1" customWidth="1"/>
    <col min="9734" max="9734" width="16.7109375" style="76" bestFit="1" customWidth="1"/>
    <col min="9735" max="9735" width="12.85546875" style="76" bestFit="1" customWidth="1"/>
    <col min="9736" max="9736" width="27.85546875" style="76" customWidth="1"/>
    <col min="9737" max="9737" width="0" style="76" hidden="1" customWidth="1"/>
    <col min="9738" max="9738" width="19.7109375" style="76" customWidth="1"/>
    <col min="9739" max="9739" width="10.28515625" style="76" customWidth="1"/>
    <col min="9740" max="9740" width="10.5703125" style="76" bestFit="1" customWidth="1"/>
    <col min="9741" max="9741" width="61.5703125" style="76" customWidth="1"/>
    <col min="9742" max="9742" width="20.7109375" style="76" bestFit="1" customWidth="1"/>
    <col min="9743" max="9984" width="9.140625" style="76"/>
    <col min="9985" max="9985" width="7.140625" style="76" customWidth="1"/>
    <col min="9986" max="9986" width="35.7109375" style="76" customWidth="1"/>
    <col min="9987" max="9987" width="35.85546875" style="76" customWidth="1"/>
    <col min="9988" max="9989" width="18" style="76" bestFit="1" customWidth="1"/>
    <col min="9990" max="9990" width="16.7109375" style="76" bestFit="1" customWidth="1"/>
    <col min="9991" max="9991" width="12.85546875" style="76" bestFit="1" customWidth="1"/>
    <col min="9992" max="9992" width="27.85546875" style="76" customWidth="1"/>
    <col min="9993" max="9993" width="0" style="76" hidden="1" customWidth="1"/>
    <col min="9994" max="9994" width="19.7109375" style="76" customWidth="1"/>
    <col min="9995" max="9995" width="10.28515625" style="76" customWidth="1"/>
    <col min="9996" max="9996" width="10.5703125" style="76" bestFit="1" customWidth="1"/>
    <col min="9997" max="9997" width="61.5703125" style="76" customWidth="1"/>
    <col min="9998" max="9998" width="20.7109375" style="76" bestFit="1" customWidth="1"/>
    <col min="9999" max="10240" width="9.140625" style="76"/>
    <col min="10241" max="10241" width="7.140625" style="76" customWidth="1"/>
    <col min="10242" max="10242" width="35.7109375" style="76" customWidth="1"/>
    <col min="10243" max="10243" width="35.85546875" style="76" customWidth="1"/>
    <col min="10244" max="10245" width="18" style="76" bestFit="1" customWidth="1"/>
    <col min="10246" max="10246" width="16.7109375" style="76" bestFit="1" customWidth="1"/>
    <col min="10247" max="10247" width="12.85546875" style="76" bestFit="1" customWidth="1"/>
    <col min="10248" max="10248" width="27.85546875" style="76" customWidth="1"/>
    <col min="10249" max="10249" width="0" style="76" hidden="1" customWidth="1"/>
    <col min="10250" max="10250" width="19.7109375" style="76" customWidth="1"/>
    <col min="10251" max="10251" width="10.28515625" style="76" customWidth="1"/>
    <col min="10252" max="10252" width="10.5703125" style="76" bestFit="1" customWidth="1"/>
    <col min="10253" max="10253" width="61.5703125" style="76" customWidth="1"/>
    <col min="10254" max="10254" width="20.7109375" style="76" bestFit="1" customWidth="1"/>
    <col min="10255" max="10496" width="9.140625" style="76"/>
    <col min="10497" max="10497" width="7.140625" style="76" customWidth="1"/>
    <col min="10498" max="10498" width="35.7109375" style="76" customWidth="1"/>
    <col min="10499" max="10499" width="35.85546875" style="76" customWidth="1"/>
    <col min="10500" max="10501" width="18" style="76" bestFit="1" customWidth="1"/>
    <col min="10502" max="10502" width="16.7109375" style="76" bestFit="1" customWidth="1"/>
    <col min="10503" max="10503" width="12.85546875" style="76" bestFit="1" customWidth="1"/>
    <col min="10504" max="10504" width="27.85546875" style="76" customWidth="1"/>
    <col min="10505" max="10505" width="0" style="76" hidden="1" customWidth="1"/>
    <col min="10506" max="10506" width="19.7109375" style="76" customWidth="1"/>
    <col min="10507" max="10507" width="10.28515625" style="76" customWidth="1"/>
    <col min="10508" max="10508" width="10.5703125" style="76" bestFit="1" customWidth="1"/>
    <col min="10509" max="10509" width="61.5703125" style="76" customWidth="1"/>
    <col min="10510" max="10510" width="20.7109375" style="76" bestFit="1" customWidth="1"/>
    <col min="10511" max="10752" width="9.140625" style="76"/>
    <col min="10753" max="10753" width="7.140625" style="76" customWidth="1"/>
    <col min="10754" max="10754" width="35.7109375" style="76" customWidth="1"/>
    <col min="10755" max="10755" width="35.85546875" style="76" customWidth="1"/>
    <col min="10756" max="10757" width="18" style="76" bestFit="1" customWidth="1"/>
    <col min="10758" max="10758" width="16.7109375" style="76" bestFit="1" customWidth="1"/>
    <col min="10759" max="10759" width="12.85546875" style="76" bestFit="1" customWidth="1"/>
    <col min="10760" max="10760" width="27.85546875" style="76" customWidth="1"/>
    <col min="10761" max="10761" width="0" style="76" hidden="1" customWidth="1"/>
    <col min="10762" max="10762" width="19.7109375" style="76" customWidth="1"/>
    <col min="10763" max="10763" width="10.28515625" style="76" customWidth="1"/>
    <col min="10764" max="10764" width="10.5703125" style="76" bestFit="1" customWidth="1"/>
    <col min="10765" max="10765" width="61.5703125" style="76" customWidth="1"/>
    <col min="10766" max="10766" width="20.7109375" style="76" bestFit="1" customWidth="1"/>
    <col min="10767" max="11008" width="9.140625" style="76"/>
    <col min="11009" max="11009" width="7.140625" style="76" customWidth="1"/>
    <col min="11010" max="11010" width="35.7109375" style="76" customWidth="1"/>
    <col min="11011" max="11011" width="35.85546875" style="76" customWidth="1"/>
    <col min="11012" max="11013" width="18" style="76" bestFit="1" customWidth="1"/>
    <col min="11014" max="11014" width="16.7109375" style="76" bestFit="1" customWidth="1"/>
    <col min="11015" max="11015" width="12.85546875" style="76" bestFit="1" customWidth="1"/>
    <col min="11016" max="11016" width="27.85546875" style="76" customWidth="1"/>
    <col min="11017" max="11017" width="0" style="76" hidden="1" customWidth="1"/>
    <col min="11018" max="11018" width="19.7109375" style="76" customWidth="1"/>
    <col min="11019" max="11019" width="10.28515625" style="76" customWidth="1"/>
    <col min="11020" max="11020" width="10.5703125" style="76" bestFit="1" customWidth="1"/>
    <col min="11021" max="11021" width="61.5703125" style="76" customWidth="1"/>
    <col min="11022" max="11022" width="20.7109375" style="76" bestFit="1" customWidth="1"/>
    <col min="11023" max="11264" width="9.140625" style="76"/>
    <col min="11265" max="11265" width="7.140625" style="76" customWidth="1"/>
    <col min="11266" max="11266" width="35.7109375" style="76" customWidth="1"/>
    <col min="11267" max="11267" width="35.85546875" style="76" customWidth="1"/>
    <col min="11268" max="11269" width="18" style="76" bestFit="1" customWidth="1"/>
    <col min="11270" max="11270" width="16.7109375" style="76" bestFit="1" customWidth="1"/>
    <col min="11271" max="11271" width="12.85546875" style="76" bestFit="1" customWidth="1"/>
    <col min="11272" max="11272" width="27.85546875" style="76" customWidth="1"/>
    <col min="11273" max="11273" width="0" style="76" hidden="1" customWidth="1"/>
    <col min="11274" max="11274" width="19.7109375" style="76" customWidth="1"/>
    <col min="11275" max="11275" width="10.28515625" style="76" customWidth="1"/>
    <col min="11276" max="11276" width="10.5703125" style="76" bestFit="1" customWidth="1"/>
    <col min="11277" max="11277" width="61.5703125" style="76" customWidth="1"/>
    <col min="11278" max="11278" width="20.7109375" style="76" bestFit="1" customWidth="1"/>
    <col min="11279" max="11520" width="9.140625" style="76"/>
    <col min="11521" max="11521" width="7.140625" style="76" customWidth="1"/>
    <col min="11522" max="11522" width="35.7109375" style="76" customWidth="1"/>
    <col min="11523" max="11523" width="35.85546875" style="76" customWidth="1"/>
    <col min="11524" max="11525" width="18" style="76" bestFit="1" customWidth="1"/>
    <col min="11526" max="11526" width="16.7109375" style="76" bestFit="1" customWidth="1"/>
    <col min="11527" max="11527" width="12.85546875" style="76" bestFit="1" customWidth="1"/>
    <col min="11528" max="11528" width="27.85546875" style="76" customWidth="1"/>
    <col min="11529" max="11529" width="0" style="76" hidden="1" customWidth="1"/>
    <col min="11530" max="11530" width="19.7109375" style="76" customWidth="1"/>
    <col min="11531" max="11531" width="10.28515625" style="76" customWidth="1"/>
    <col min="11532" max="11532" width="10.5703125" style="76" bestFit="1" customWidth="1"/>
    <col min="11533" max="11533" width="61.5703125" style="76" customWidth="1"/>
    <col min="11534" max="11534" width="20.7109375" style="76" bestFit="1" customWidth="1"/>
    <col min="11535" max="11776" width="9.140625" style="76"/>
    <col min="11777" max="11777" width="7.140625" style="76" customWidth="1"/>
    <col min="11778" max="11778" width="35.7109375" style="76" customWidth="1"/>
    <col min="11779" max="11779" width="35.85546875" style="76" customWidth="1"/>
    <col min="11780" max="11781" width="18" style="76" bestFit="1" customWidth="1"/>
    <col min="11782" max="11782" width="16.7109375" style="76" bestFit="1" customWidth="1"/>
    <col min="11783" max="11783" width="12.85546875" style="76" bestFit="1" customWidth="1"/>
    <col min="11784" max="11784" width="27.85546875" style="76" customWidth="1"/>
    <col min="11785" max="11785" width="0" style="76" hidden="1" customWidth="1"/>
    <col min="11786" max="11786" width="19.7109375" style="76" customWidth="1"/>
    <col min="11787" max="11787" width="10.28515625" style="76" customWidth="1"/>
    <col min="11788" max="11788" width="10.5703125" style="76" bestFit="1" customWidth="1"/>
    <col min="11789" max="11789" width="61.5703125" style="76" customWidth="1"/>
    <col min="11790" max="11790" width="20.7109375" style="76" bestFit="1" customWidth="1"/>
    <col min="11791" max="12032" width="9.140625" style="76"/>
    <col min="12033" max="12033" width="7.140625" style="76" customWidth="1"/>
    <col min="12034" max="12034" width="35.7109375" style="76" customWidth="1"/>
    <col min="12035" max="12035" width="35.85546875" style="76" customWidth="1"/>
    <col min="12036" max="12037" width="18" style="76" bestFit="1" customWidth="1"/>
    <col min="12038" max="12038" width="16.7109375" style="76" bestFit="1" customWidth="1"/>
    <col min="12039" max="12039" width="12.85546875" style="76" bestFit="1" customWidth="1"/>
    <col min="12040" max="12040" width="27.85546875" style="76" customWidth="1"/>
    <col min="12041" max="12041" width="0" style="76" hidden="1" customWidth="1"/>
    <col min="12042" max="12042" width="19.7109375" style="76" customWidth="1"/>
    <col min="12043" max="12043" width="10.28515625" style="76" customWidth="1"/>
    <col min="12044" max="12044" width="10.5703125" style="76" bestFit="1" customWidth="1"/>
    <col min="12045" max="12045" width="61.5703125" style="76" customWidth="1"/>
    <col min="12046" max="12046" width="20.7109375" style="76" bestFit="1" customWidth="1"/>
    <col min="12047" max="12288" width="9.140625" style="76"/>
    <col min="12289" max="12289" width="7.140625" style="76" customWidth="1"/>
    <col min="12290" max="12290" width="35.7109375" style="76" customWidth="1"/>
    <col min="12291" max="12291" width="35.85546875" style="76" customWidth="1"/>
    <col min="12292" max="12293" width="18" style="76" bestFit="1" customWidth="1"/>
    <col min="12294" max="12294" width="16.7109375" style="76" bestFit="1" customWidth="1"/>
    <col min="12295" max="12295" width="12.85546875" style="76" bestFit="1" customWidth="1"/>
    <col min="12296" max="12296" width="27.85546875" style="76" customWidth="1"/>
    <col min="12297" max="12297" width="0" style="76" hidden="1" customWidth="1"/>
    <col min="12298" max="12298" width="19.7109375" style="76" customWidth="1"/>
    <col min="12299" max="12299" width="10.28515625" style="76" customWidth="1"/>
    <col min="12300" max="12300" width="10.5703125" style="76" bestFit="1" customWidth="1"/>
    <col min="12301" max="12301" width="61.5703125" style="76" customWidth="1"/>
    <col min="12302" max="12302" width="20.7109375" style="76" bestFit="1" customWidth="1"/>
    <col min="12303" max="12544" width="9.140625" style="76"/>
    <col min="12545" max="12545" width="7.140625" style="76" customWidth="1"/>
    <col min="12546" max="12546" width="35.7109375" style="76" customWidth="1"/>
    <col min="12547" max="12547" width="35.85546875" style="76" customWidth="1"/>
    <col min="12548" max="12549" width="18" style="76" bestFit="1" customWidth="1"/>
    <col min="12550" max="12550" width="16.7109375" style="76" bestFit="1" customWidth="1"/>
    <col min="12551" max="12551" width="12.85546875" style="76" bestFit="1" customWidth="1"/>
    <col min="12552" max="12552" width="27.85546875" style="76" customWidth="1"/>
    <col min="12553" max="12553" width="0" style="76" hidden="1" customWidth="1"/>
    <col min="12554" max="12554" width="19.7109375" style="76" customWidth="1"/>
    <col min="12555" max="12555" width="10.28515625" style="76" customWidth="1"/>
    <col min="12556" max="12556" width="10.5703125" style="76" bestFit="1" customWidth="1"/>
    <col min="12557" max="12557" width="61.5703125" style="76" customWidth="1"/>
    <col min="12558" max="12558" width="20.7109375" style="76" bestFit="1" customWidth="1"/>
    <col min="12559" max="12800" width="9.140625" style="76"/>
    <col min="12801" max="12801" width="7.140625" style="76" customWidth="1"/>
    <col min="12802" max="12802" width="35.7109375" style="76" customWidth="1"/>
    <col min="12803" max="12803" width="35.85546875" style="76" customWidth="1"/>
    <col min="12804" max="12805" width="18" style="76" bestFit="1" customWidth="1"/>
    <col min="12806" max="12806" width="16.7109375" style="76" bestFit="1" customWidth="1"/>
    <col min="12807" max="12807" width="12.85546875" style="76" bestFit="1" customWidth="1"/>
    <col min="12808" max="12808" width="27.85546875" style="76" customWidth="1"/>
    <col min="12809" max="12809" width="0" style="76" hidden="1" customWidth="1"/>
    <col min="12810" max="12810" width="19.7109375" style="76" customWidth="1"/>
    <col min="12811" max="12811" width="10.28515625" style="76" customWidth="1"/>
    <col min="12812" max="12812" width="10.5703125" style="76" bestFit="1" customWidth="1"/>
    <col min="12813" max="12813" width="61.5703125" style="76" customWidth="1"/>
    <col min="12814" max="12814" width="20.7109375" style="76" bestFit="1" customWidth="1"/>
    <col min="12815" max="13056" width="9.140625" style="76"/>
    <col min="13057" max="13057" width="7.140625" style="76" customWidth="1"/>
    <col min="13058" max="13058" width="35.7109375" style="76" customWidth="1"/>
    <col min="13059" max="13059" width="35.85546875" style="76" customWidth="1"/>
    <col min="13060" max="13061" width="18" style="76" bestFit="1" customWidth="1"/>
    <col min="13062" max="13062" width="16.7109375" style="76" bestFit="1" customWidth="1"/>
    <col min="13063" max="13063" width="12.85546875" style="76" bestFit="1" customWidth="1"/>
    <col min="13064" max="13064" width="27.85546875" style="76" customWidth="1"/>
    <col min="13065" max="13065" width="0" style="76" hidden="1" customWidth="1"/>
    <col min="13066" max="13066" width="19.7109375" style="76" customWidth="1"/>
    <col min="13067" max="13067" width="10.28515625" style="76" customWidth="1"/>
    <col min="13068" max="13068" width="10.5703125" style="76" bestFit="1" customWidth="1"/>
    <col min="13069" max="13069" width="61.5703125" style="76" customWidth="1"/>
    <col min="13070" max="13070" width="20.7109375" style="76" bestFit="1" customWidth="1"/>
    <col min="13071" max="13312" width="9.140625" style="76"/>
    <col min="13313" max="13313" width="7.140625" style="76" customWidth="1"/>
    <col min="13314" max="13314" width="35.7109375" style="76" customWidth="1"/>
    <col min="13315" max="13315" width="35.85546875" style="76" customWidth="1"/>
    <col min="13316" max="13317" width="18" style="76" bestFit="1" customWidth="1"/>
    <col min="13318" max="13318" width="16.7109375" style="76" bestFit="1" customWidth="1"/>
    <col min="13319" max="13319" width="12.85546875" style="76" bestFit="1" customWidth="1"/>
    <col min="13320" max="13320" width="27.85546875" style="76" customWidth="1"/>
    <col min="13321" max="13321" width="0" style="76" hidden="1" customWidth="1"/>
    <col min="13322" max="13322" width="19.7109375" style="76" customWidth="1"/>
    <col min="13323" max="13323" width="10.28515625" style="76" customWidth="1"/>
    <col min="13324" max="13324" width="10.5703125" style="76" bestFit="1" customWidth="1"/>
    <col min="13325" max="13325" width="61.5703125" style="76" customWidth="1"/>
    <col min="13326" max="13326" width="20.7109375" style="76" bestFit="1" customWidth="1"/>
    <col min="13327" max="13568" width="9.140625" style="76"/>
    <col min="13569" max="13569" width="7.140625" style="76" customWidth="1"/>
    <col min="13570" max="13570" width="35.7109375" style="76" customWidth="1"/>
    <col min="13571" max="13571" width="35.85546875" style="76" customWidth="1"/>
    <col min="13572" max="13573" width="18" style="76" bestFit="1" customWidth="1"/>
    <col min="13574" max="13574" width="16.7109375" style="76" bestFit="1" customWidth="1"/>
    <col min="13575" max="13575" width="12.85546875" style="76" bestFit="1" customWidth="1"/>
    <col min="13576" max="13576" width="27.85546875" style="76" customWidth="1"/>
    <col min="13577" max="13577" width="0" style="76" hidden="1" customWidth="1"/>
    <col min="13578" max="13578" width="19.7109375" style="76" customWidth="1"/>
    <col min="13579" max="13579" width="10.28515625" style="76" customWidth="1"/>
    <col min="13580" max="13580" width="10.5703125" style="76" bestFit="1" customWidth="1"/>
    <col min="13581" max="13581" width="61.5703125" style="76" customWidth="1"/>
    <col min="13582" max="13582" width="20.7109375" style="76" bestFit="1" customWidth="1"/>
    <col min="13583" max="13824" width="9.140625" style="76"/>
    <col min="13825" max="13825" width="7.140625" style="76" customWidth="1"/>
    <col min="13826" max="13826" width="35.7109375" style="76" customWidth="1"/>
    <col min="13827" max="13827" width="35.85546875" style="76" customWidth="1"/>
    <col min="13828" max="13829" width="18" style="76" bestFit="1" customWidth="1"/>
    <col min="13830" max="13830" width="16.7109375" style="76" bestFit="1" customWidth="1"/>
    <col min="13831" max="13831" width="12.85546875" style="76" bestFit="1" customWidth="1"/>
    <col min="13832" max="13832" width="27.85546875" style="76" customWidth="1"/>
    <col min="13833" max="13833" width="0" style="76" hidden="1" customWidth="1"/>
    <col min="13834" max="13834" width="19.7109375" style="76" customWidth="1"/>
    <col min="13835" max="13835" width="10.28515625" style="76" customWidth="1"/>
    <col min="13836" max="13836" width="10.5703125" style="76" bestFit="1" customWidth="1"/>
    <col min="13837" max="13837" width="61.5703125" style="76" customWidth="1"/>
    <col min="13838" max="13838" width="20.7109375" style="76" bestFit="1" customWidth="1"/>
    <col min="13839" max="14080" width="9.140625" style="76"/>
    <col min="14081" max="14081" width="7.140625" style="76" customWidth="1"/>
    <col min="14082" max="14082" width="35.7109375" style="76" customWidth="1"/>
    <col min="14083" max="14083" width="35.85546875" style="76" customWidth="1"/>
    <col min="14084" max="14085" width="18" style="76" bestFit="1" customWidth="1"/>
    <col min="14086" max="14086" width="16.7109375" style="76" bestFit="1" customWidth="1"/>
    <col min="14087" max="14087" width="12.85546875" style="76" bestFit="1" customWidth="1"/>
    <col min="14088" max="14088" width="27.85546875" style="76" customWidth="1"/>
    <col min="14089" max="14089" width="0" style="76" hidden="1" customWidth="1"/>
    <col min="14090" max="14090" width="19.7109375" style="76" customWidth="1"/>
    <col min="14091" max="14091" width="10.28515625" style="76" customWidth="1"/>
    <col min="14092" max="14092" width="10.5703125" style="76" bestFit="1" customWidth="1"/>
    <col min="14093" max="14093" width="61.5703125" style="76" customWidth="1"/>
    <col min="14094" max="14094" width="20.7109375" style="76" bestFit="1" customWidth="1"/>
    <col min="14095" max="14336" width="9.140625" style="76"/>
    <col min="14337" max="14337" width="7.140625" style="76" customWidth="1"/>
    <col min="14338" max="14338" width="35.7109375" style="76" customWidth="1"/>
    <col min="14339" max="14339" width="35.85546875" style="76" customWidth="1"/>
    <col min="14340" max="14341" width="18" style="76" bestFit="1" customWidth="1"/>
    <col min="14342" max="14342" width="16.7109375" style="76" bestFit="1" customWidth="1"/>
    <col min="14343" max="14343" width="12.85546875" style="76" bestFit="1" customWidth="1"/>
    <col min="14344" max="14344" width="27.85546875" style="76" customWidth="1"/>
    <col min="14345" max="14345" width="0" style="76" hidden="1" customWidth="1"/>
    <col min="14346" max="14346" width="19.7109375" style="76" customWidth="1"/>
    <col min="14347" max="14347" width="10.28515625" style="76" customWidth="1"/>
    <col min="14348" max="14348" width="10.5703125" style="76" bestFit="1" customWidth="1"/>
    <col min="14349" max="14349" width="61.5703125" style="76" customWidth="1"/>
    <col min="14350" max="14350" width="20.7109375" style="76" bestFit="1" customWidth="1"/>
    <col min="14351" max="14592" width="9.140625" style="76"/>
    <col min="14593" max="14593" width="7.140625" style="76" customWidth="1"/>
    <col min="14594" max="14594" width="35.7109375" style="76" customWidth="1"/>
    <col min="14595" max="14595" width="35.85546875" style="76" customWidth="1"/>
    <col min="14596" max="14597" width="18" style="76" bestFit="1" customWidth="1"/>
    <col min="14598" max="14598" width="16.7109375" style="76" bestFit="1" customWidth="1"/>
    <col min="14599" max="14599" width="12.85546875" style="76" bestFit="1" customWidth="1"/>
    <col min="14600" max="14600" width="27.85546875" style="76" customWidth="1"/>
    <col min="14601" max="14601" width="0" style="76" hidden="1" customWidth="1"/>
    <col min="14602" max="14602" width="19.7109375" style="76" customWidth="1"/>
    <col min="14603" max="14603" width="10.28515625" style="76" customWidth="1"/>
    <col min="14604" max="14604" width="10.5703125" style="76" bestFit="1" customWidth="1"/>
    <col min="14605" max="14605" width="61.5703125" style="76" customWidth="1"/>
    <col min="14606" max="14606" width="20.7109375" style="76" bestFit="1" customWidth="1"/>
    <col min="14607" max="14848" width="9.140625" style="76"/>
    <col min="14849" max="14849" width="7.140625" style="76" customWidth="1"/>
    <col min="14850" max="14850" width="35.7109375" style="76" customWidth="1"/>
    <col min="14851" max="14851" width="35.85546875" style="76" customWidth="1"/>
    <col min="14852" max="14853" width="18" style="76" bestFit="1" customWidth="1"/>
    <col min="14854" max="14854" width="16.7109375" style="76" bestFit="1" customWidth="1"/>
    <col min="14855" max="14855" width="12.85546875" style="76" bestFit="1" customWidth="1"/>
    <col min="14856" max="14856" width="27.85546875" style="76" customWidth="1"/>
    <col min="14857" max="14857" width="0" style="76" hidden="1" customWidth="1"/>
    <col min="14858" max="14858" width="19.7109375" style="76" customWidth="1"/>
    <col min="14859" max="14859" width="10.28515625" style="76" customWidth="1"/>
    <col min="14860" max="14860" width="10.5703125" style="76" bestFit="1" customWidth="1"/>
    <col min="14861" max="14861" width="61.5703125" style="76" customWidth="1"/>
    <col min="14862" max="14862" width="20.7109375" style="76" bestFit="1" customWidth="1"/>
    <col min="14863" max="15104" width="9.140625" style="76"/>
    <col min="15105" max="15105" width="7.140625" style="76" customWidth="1"/>
    <col min="15106" max="15106" width="35.7109375" style="76" customWidth="1"/>
    <col min="15107" max="15107" width="35.85546875" style="76" customWidth="1"/>
    <col min="15108" max="15109" width="18" style="76" bestFit="1" customWidth="1"/>
    <col min="15110" max="15110" width="16.7109375" style="76" bestFit="1" customWidth="1"/>
    <col min="15111" max="15111" width="12.85546875" style="76" bestFit="1" customWidth="1"/>
    <col min="15112" max="15112" width="27.85546875" style="76" customWidth="1"/>
    <col min="15113" max="15113" width="0" style="76" hidden="1" customWidth="1"/>
    <col min="15114" max="15114" width="19.7109375" style="76" customWidth="1"/>
    <col min="15115" max="15115" width="10.28515625" style="76" customWidth="1"/>
    <col min="15116" max="15116" width="10.5703125" style="76" bestFit="1" customWidth="1"/>
    <col min="15117" max="15117" width="61.5703125" style="76" customWidth="1"/>
    <col min="15118" max="15118" width="20.7109375" style="76" bestFit="1" customWidth="1"/>
    <col min="15119" max="15360" width="9.140625" style="76"/>
    <col min="15361" max="15361" width="7.140625" style="76" customWidth="1"/>
    <col min="15362" max="15362" width="35.7109375" style="76" customWidth="1"/>
    <col min="15363" max="15363" width="35.85546875" style="76" customWidth="1"/>
    <col min="15364" max="15365" width="18" style="76" bestFit="1" customWidth="1"/>
    <col min="15366" max="15366" width="16.7109375" style="76" bestFit="1" customWidth="1"/>
    <col min="15367" max="15367" width="12.85546875" style="76" bestFit="1" customWidth="1"/>
    <col min="15368" max="15368" width="27.85546875" style="76" customWidth="1"/>
    <col min="15369" max="15369" width="0" style="76" hidden="1" customWidth="1"/>
    <col min="15370" max="15370" width="19.7109375" style="76" customWidth="1"/>
    <col min="15371" max="15371" width="10.28515625" style="76" customWidth="1"/>
    <col min="15372" max="15372" width="10.5703125" style="76" bestFit="1" customWidth="1"/>
    <col min="15373" max="15373" width="61.5703125" style="76" customWidth="1"/>
    <col min="15374" max="15374" width="20.7109375" style="76" bestFit="1" customWidth="1"/>
    <col min="15375" max="15616" width="9.140625" style="76"/>
    <col min="15617" max="15617" width="7.140625" style="76" customWidth="1"/>
    <col min="15618" max="15618" width="35.7109375" style="76" customWidth="1"/>
    <col min="15619" max="15619" width="35.85546875" style="76" customWidth="1"/>
    <col min="15620" max="15621" width="18" style="76" bestFit="1" customWidth="1"/>
    <col min="15622" max="15622" width="16.7109375" style="76" bestFit="1" customWidth="1"/>
    <col min="15623" max="15623" width="12.85546875" style="76" bestFit="1" customWidth="1"/>
    <col min="15624" max="15624" width="27.85546875" style="76" customWidth="1"/>
    <col min="15625" max="15625" width="0" style="76" hidden="1" customWidth="1"/>
    <col min="15626" max="15626" width="19.7109375" style="76" customWidth="1"/>
    <col min="15627" max="15627" width="10.28515625" style="76" customWidth="1"/>
    <col min="15628" max="15628" width="10.5703125" style="76" bestFit="1" customWidth="1"/>
    <col min="15629" max="15629" width="61.5703125" style="76" customWidth="1"/>
    <col min="15630" max="15630" width="20.7109375" style="76" bestFit="1" customWidth="1"/>
    <col min="15631" max="15872" width="9.140625" style="76"/>
    <col min="15873" max="15873" width="7.140625" style="76" customWidth="1"/>
    <col min="15874" max="15874" width="35.7109375" style="76" customWidth="1"/>
    <col min="15875" max="15875" width="35.85546875" style="76" customWidth="1"/>
    <col min="15876" max="15877" width="18" style="76" bestFit="1" customWidth="1"/>
    <col min="15878" max="15878" width="16.7109375" style="76" bestFit="1" customWidth="1"/>
    <col min="15879" max="15879" width="12.85546875" style="76" bestFit="1" customWidth="1"/>
    <col min="15880" max="15880" width="27.85546875" style="76" customWidth="1"/>
    <col min="15881" max="15881" width="0" style="76" hidden="1" customWidth="1"/>
    <col min="15882" max="15882" width="19.7109375" style="76" customWidth="1"/>
    <col min="15883" max="15883" width="10.28515625" style="76" customWidth="1"/>
    <col min="15884" max="15884" width="10.5703125" style="76" bestFit="1" customWidth="1"/>
    <col min="15885" max="15885" width="61.5703125" style="76" customWidth="1"/>
    <col min="15886" max="15886" width="20.7109375" style="76" bestFit="1" customWidth="1"/>
    <col min="15887" max="16128" width="9.140625" style="76"/>
    <col min="16129" max="16129" width="7.140625" style="76" customWidth="1"/>
    <col min="16130" max="16130" width="35.7109375" style="76" customWidth="1"/>
    <col min="16131" max="16131" width="35.85546875" style="76" customWidth="1"/>
    <col min="16132" max="16133" width="18" style="76" bestFit="1" customWidth="1"/>
    <col min="16134" max="16134" width="16.7109375" style="76" bestFit="1" customWidth="1"/>
    <col min="16135" max="16135" width="12.85546875" style="76" bestFit="1" customWidth="1"/>
    <col min="16136" max="16136" width="27.85546875" style="76" customWidth="1"/>
    <col min="16137" max="16137" width="0" style="76" hidden="1" customWidth="1"/>
    <col min="16138" max="16138" width="19.7109375" style="76" customWidth="1"/>
    <col min="16139" max="16139" width="10.28515625" style="76" customWidth="1"/>
    <col min="16140" max="16140" width="10.5703125" style="76" bestFit="1" customWidth="1"/>
    <col min="16141" max="16141" width="61.5703125" style="76" customWidth="1"/>
    <col min="16142" max="16142" width="20.7109375" style="76" bestFit="1" customWidth="1"/>
    <col min="16143" max="16384" width="9.140625" style="76"/>
  </cols>
  <sheetData>
    <row r="1" spans="1:13">
      <c r="F1" s="1096" t="s">
        <v>778</v>
      </c>
      <c r="G1" s="1096"/>
      <c r="H1" s="1096"/>
      <c r="I1" s="794"/>
      <c r="J1" s="795"/>
      <c r="K1" s="795"/>
      <c r="L1" s="795"/>
      <c r="M1" s="796"/>
    </row>
    <row r="2" spans="1:13" hidden="1">
      <c r="F2" s="797"/>
      <c r="G2" s="797"/>
      <c r="H2" s="797"/>
      <c r="I2" s="797"/>
      <c r="J2" s="795"/>
      <c r="K2" s="795"/>
      <c r="L2" s="795"/>
    </row>
    <row r="3" spans="1:13">
      <c r="A3" s="1097" t="s">
        <v>779</v>
      </c>
      <c r="B3" s="1097"/>
      <c r="C3" s="1097"/>
      <c r="D3" s="1097"/>
      <c r="E3" s="1097"/>
      <c r="F3" s="1097"/>
      <c r="G3" s="1097"/>
      <c r="H3" s="1097"/>
      <c r="I3" s="798"/>
      <c r="J3" s="797"/>
      <c r="K3" s="798"/>
      <c r="L3" s="798"/>
    </row>
    <row r="4" spans="1:13">
      <c r="A4" s="1098" t="s">
        <v>517</v>
      </c>
      <c r="B4" s="1098"/>
      <c r="C4" s="1098"/>
      <c r="D4" s="1098"/>
      <c r="E4" s="1098"/>
      <c r="F4" s="1098"/>
      <c r="G4" s="1098"/>
      <c r="H4" s="1098"/>
      <c r="I4" s="613"/>
      <c r="J4" s="613"/>
      <c r="K4" s="613"/>
      <c r="L4" s="799"/>
    </row>
    <row r="5" spans="1:13">
      <c r="A5" s="613"/>
      <c r="B5" s="613"/>
      <c r="C5" s="800"/>
      <c r="D5" s="801"/>
      <c r="E5" s="801"/>
      <c r="F5" s="1099" t="s">
        <v>518</v>
      </c>
      <c r="G5" s="1099"/>
      <c r="H5" s="1099"/>
      <c r="I5" s="613"/>
      <c r="J5" s="613"/>
      <c r="K5" s="613"/>
      <c r="L5" s="613"/>
    </row>
    <row r="6" spans="1:13" ht="47.25">
      <c r="A6" s="14" t="s">
        <v>0</v>
      </c>
      <c r="B6" s="14" t="s">
        <v>519</v>
      </c>
      <c r="C6" s="802" t="s">
        <v>122</v>
      </c>
      <c r="D6" s="14" t="s">
        <v>780</v>
      </c>
      <c r="E6" s="14" t="s">
        <v>781</v>
      </c>
      <c r="F6" s="14" t="s">
        <v>522</v>
      </c>
      <c r="G6" s="14" t="s">
        <v>523</v>
      </c>
      <c r="H6" s="14" t="s">
        <v>524</v>
      </c>
      <c r="I6" s="799"/>
      <c r="J6" s="799"/>
      <c r="K6" s="799"/>
      <c r="L6" s="799"/>
    </row>
    <row r="7" spans="1:13" ht="27" customHeight="1">
      <c r="A7" s="1100" t="s">
        <v>782</v>
      </c>
      <c r="B7" s="1100"/>
      <c r="C7" s="1100"/>
      <c r="D7" s="803">
        <f>D8+D17+D85</f>
        <v>98649288998</v>
      </c>
      <c r="E7" s="803">
        <f>E8+E17+E85</f>
        <v>98308505118</v>
      </c>
      <c r="F7" s="803">
        <f>F8+F17+F85</f>
        <v>340783880</v>
      </c>
      <c r="G7" s="804">
        <f>+E7/D7</f>
        <v>0.99654550090060046</v>
      </c>
      <c r="H7" s="805"/>
      <c r="I7" s="806">
        <f>D7-E7-F7</f>
        <v>0</v>
      </c>
      <c r="J7" s="807"/>
      <c r="K7" s="808"/>
      <c r="L7" s="809"/>
      <c r="M7" s="796"/>
    </row>
    <row r="8" spans="1:13">
      <c r="A8" s="142" t="s">
        <v>4</v>
      </c>
      <c r="B8" s="121" t="s">
        <v>783</v>
      </c>
      <c r="C8" s="810"/>
      <c r="D8" s="811">
        <f>D9+D16</f>
        <v>40852641861</v>
      </c>
      <c r="E8" s="811">
        <f>E9+E16</f>
        <v>40852641861</v>
      </c>
      <c r="F8" s="811">
        <f>F9+F16</f>
        <v>0</v>
      </c>
      <c r="G8" s="812">
        <f>+E8/D8</f>
        <v>1</v>
      </c>
      <c r="H8" s="667"/>
      <c r="I8" s="806">
        <f t="shared" ref="I8:I71" si="0">D8-E8-F8</f>
        <v>0</v>
      </c>
      <c r="J8" s="813"/>
      <c r="K8" s="814"/>
      <c r="L8" s="814"/>
      <c r="M8" s="815"/>
    </row>
    <row r="9" spans="1:13" ht="31.5" hidden="1">
      <c r="A9" s="816" t="s">
        <v>6</v>
      </c>
      <c r="B9" s="817" t="s">
        <v>784</v>
      </c>
      <c r="C9" s="818"/>
      <c r="D9" s="819">
        <f>SUM(D10:D15)</f>
        <v>40852641861</v>
      </c>
      <c r="E9" s="819">
        <f>SUM(E10:E15)</f>
        <v>40852641861</v>
      </c>
      <c r="F9" s="819">
        <f t="shared" ref="F9:F15" si="1">D9-E9</f>
        <v>0</v>
      </c>
      <c r="G9" s="820">
        <f>+E9/D9</f>
        <v>1</v>
      </c>
      <c r="H9" s="667"/>
      <c r="I9" s="806">
        <f t="shared" si="0"/>
        <v>0</v>
      </c>
      <c r="J9" s="813"/>
      <c r="K9" s="814"/>
      <c r="L9" s="814"/>
      <c r="M9" s="815"/>
    </row>
    <row r="10" spans="1:13" hidden="1">
      <c r="A10" s="816"/>
      <c r="B10" s="817" t="s">
        <v>785</v>
      </c>
      <c r="C10" s="818"/>
      <c r="D10" s="819">
        <f>'[5]Tăng thu NSNN'!N51</f>
        <v>448892020</v>
      </c>
      <c r="E10" s="819">
        <f>'[5]Tăng thu NSNN'!G51</f>
        <v>448892020</v>
      </c>
      <c r="F10" s="819">
        <f t="shared" si="1"/>
        <v>0</v>
      </c>
      <c r="G10" s="820">
        <f t="shared" ref="G10:G15" si="2">+E10/D10</f>
        <v>1</v>
      </c>
      <c r="H10" s="667"/>
      <c r="I10" s="806">
        <f t="shared" si="0"/>
        <v>0</v>
      </c>
      <c r="J10" s="813"/>
      <c r="K10" s="814"/>
      <c r="L10" s="814"/>
      <c r="M10" s="815"/>
    </row>
    <row r="11" spans="1:13" hidden="1">
      <c r="A11" s="816"/>
      <c r="B11" s="817" t="s">
        <v>786</v>
      </c>
      <c r="C11" s="818"/>
      <c r="D11" s="819">
        <f>'[5]Tăng thu NSNN'!O51</f>
        <v>5058311054</v>
      </c>
      <c r="E11" s="819">
        <f>'[5]Tăng thu NSNN'!H51</f>
        <v>5058311054</v>
      </c>
      <c r="F11" s="819">
        <f t="shared" si="1"/>
        <v>0</v>
      </c>
      <c r="G11" s="820">
        <f t="shared" si="2"/>
        <v>1</v>
      </c>
      <c r="H11" s="667"/>
      <c r="I11" s="806">
        <f t="shared" si="0"/>
        <v>0</v>
      </c>
      <c r="J11" s="813"/>
      <c r="K11" s="814"/>
      <c r="L11" s="814"/>
      <c r="M11" s="815"/>
    </row>
    <row r="12" spans="1:13" hidden="1">
      <c r="A12" s="816"/>
      <c r="B12" s="817" t="s">
        <v>787</v>
      </c>
      <c r="C12" s="818"/>
      <c r="D12" s="819">
        <f>'[5]Tăng thu NSNN'!P51</f>
        <v>6633746835</v>
      </c>
      <c r="E12" s="819">
        <f>'[5]Tăng thu NSNN'!I51</f>
        <v>6633746835</v>
      </c>
      <c r="F12" s="819">
        <f t="shared" si="1"/>
        <v>0</v>
      </c>
      <c r="G12" s="820">
        <f t="shared" si="2"/>
        <v>1</v>
      </c>
      <c r="H12" s="667"/>
      <c r="I12" s="806">
        <f t="shared" si="0"/>
        <v>0</v>
      </c>
      <c r="J12" s="813"/>
      <c r="K12" s="814"/>
      <c r="L12" s="814"/>
      <c r="M12" s="815"/>
    </row>
    <row r="13" spans="1:13" hidden="1">
      <c r="A13" s="816"/>
      <c r="B13" s="817" t="s">
        <v>788</v>
      </c>
      <c r="C13" s="818"/>
      <c r="D13" s="819">
        <f>'[5]Tăng thu NSNN'!Q51</f>
        <v>55760000</v>
      </c>
      <c r="E13" s="819">
        <f>'[5]Tăng thu NSNN'!J51</f>
        <v>55760000</v>
      </c>
      <c r="F13" s="819">
        <f t="shared" si="1"/>
        <v>0</v>
      </c>
      <c r="G13" s="820">
        <f t="shared" si="2"/>
        <v>1</v>
      </c>
      <c r="H13" s="667"/>
      <c r="I13" s="806">
        <f t="shared" si="0"/>
        <v>0</v>
      </c>
      <c r="J13" s="813"/>
      <c r="K13" s="814"/>
      <c r="L13" s="814"/>
      <c r="M13" s="815"/>
    </row>
    <row r="14" spans="1:13" hidden="1">
      <c r="A14" s="816"/>
      <c r="B14" s="817" t="s">
        <v>789</v>
      </c>
      <c r="C14" s="818"/>
      <c r="D14" s="819">
        <f>'[5]Tăng thu NSNN'!R51</f>
        <v>28485421183</v>
      </c>
      <c r="E14" s="819">
        <f>'[5]Tăng thu NSNN'!K51</f>
        <v>28485421183</v>
      </c>
      <c r="F14" s="819">
        <f t="shared" si="1"/>
        <v>0</v>
      </c>
      <c r="G14" s="820">
        <f t="shared" si="2"/>
        <v>1</v>
      </c>
      <c r="H14" s="667"/>
      <c r="I14" s="806">
        <f t="shared" si="0"/>
        <v>0</v>
      </c>
      <c r="J14" s="813"/>
      <c r="K14" s="814"/>
      <c r="L14" s="814"/>
      <c r="M14" s="815"/>
    </row>
    <row r="15" spans="1:13" hidden="1">
      <c r="A15" s="816"/>
      <c r="B15" s="817" t="s">
        <v>790</v>
      </c>
      <c r="C15" s="818"/>
      <c r="D15" s="819">
        <f>'[5]Tăng thu NSNN'!S51</f>
        <v>170510769</v>
      </c>
      <c r="E15" s="819">
        <f>'[5]Tăng thu NSNN'!L51</f>
        <v>170510769</v>
      </c>
      <c r="F15" s="819">
        <f t="shared" si="1"/>
        <v>0</v>
      </c>
      <c r="G15" s="820">
        <f t="shared" si="2"/>
        <v>1</v>
      </c>
      <c r="H15" s="667"/>
      <c r="I15" s="806">
        <f t="shared" si="0"/>
        <v>0</v>
      </c>
      <c r="J15" s="813"/>
      <c r="K15" s="814"/>
      <c r="L15" s="814"/>
      <c r="M15" s="815"/>
    </row>
    <row r="16" spans="1:13" hidden="1">
      <c r="A16" s="816" t="s">
        <v>46</v>
      </c>
      <c r="B16" s="817" t="s">
        <v>537</v>
      </c>
      <c r="C16" s="818"/>
      <c r="D16" s="819">
        <v>0</v>
      </c>
      <c r="E16" s="819">
        <v>0</v>
      </c>
      <c r="F16" s="819">
        <v>0</v>
      </c>
      <c r="G16" s="820"/>
      <c r="H16" s="667"/>
      <c r="I16" s="806">
        <f t="shared" si="0"/>
        <v>0</v>
      </c>
      <c r="J16" s="813"/>
      <c r="K16" s="814"/>
      <c r="L16" s="814"/>
      <c r="M16" s="815"/>
    </row>
    <row r="17" spans="1:13" ht="37.5" customHeight="1">
      <c r="A17" s="821" t="s">
        <v>90</v>
      </c>
      <c r="B17" s="822" t="s">
        <v>540</v>
      </c>
      <c r="C17" s="818"/>
      <c r="D17" s="811">
        <f>D18+D80</f>
        <v>56405351137</v>
      </c>
      <c r="E17" s="811">
        <f>E18+E80</f>
        <v>56064567257</v>
      </c>
      <c r="F17" s="811">
        <f>F18+F80</f>
        <v>340783880</v>
      </c>
      <c r="G17" s="812">
        <f t="shared" ref="G17:G80" si="3">+E17/D17</f>
        <v>0.99395830584987788</v>
      </c>
      <c r="H17" s="823"/>
      <c r="I17" s="806">
        <f t="shared" si="0"/>
        <v>0</v>
      </c>
      <c r="J17" s="824"/>
      <c r="K17" s="814"/>
      <c r="L17" s="825"/>
      <c r="M17" s="815"/>
    </row>
    <row r="18" spans="1:13">
      <c r="A18" s="821" t="s">
        <v>6</v>
      </c>
      <c r="B18" s="822" t="s">
        <v>791</v>
      </c>
      <c r="C18" s="826"/>
      <c r="D18" s="811">
        <f>D19+D32+D34+D46+D74+D78</f>
        <v>54563196872</v>
      </c>
      <c r="E18" s="811">
        <f>E19+E32+E34+E46+E74+E78</f>
        <v>54222412992</v>
      </c>
      <c r="F18" s="811">
        <f>F19+F32+F34+F46+F74+F78</f>
        <v>340783880</v>
      </c>
      <c r="G18" s="812">
        <f t="shared" si="3"/>
        <v>0.99375432710074807</v>
      </c>
      <c r="H18" s="823"/>
      <c r="I18" s="806">
        <f t="shared" si="0"/>
        <v>0</v>
      </c>
      <c r="J18" s="824"/>
      <c r="K18" s="814"/>
      <c r="L18" s="825"/>
      <c r="M18" s="815"/>
    </row>
    <row r="19" spans="1:13" ht="31.5">
      <c r="A19" s="816">
        <v>1</v>
      </c>
      <c r="B19" s="817" t="s">
        <v>755</v>
      </c>
      <c r="C19" s="818"/>
      <c r="D19" s="819">
        <f>D20+D21</f>
        <v>668169341</v>
      </c>
      <c r="E19" s="819">
        <f>E20+E21</f>
        <v>668169341</v>
      </c>
      <c r="F19" s="819">
        <f>F20+F21</f>
        <v>0</v>
      </c>
      <c r="G19" s="820">
        <f t="shared" si="3"/>
        <v>1</v>
      </c>
      <c r="H19" s="827"/>
      <c r="I19" s="806">
        <f t="shared" si="0"/>
        <v>0</v>
      </c>
      <c r="J19" s="828"/>
      <c r="K19" s="814"/>
      <c r="L19" s="825"/>
      <c r="M19" s="815"/>
    </row>
    <row r="20" spans="1:13" hidden="1">
      <c r="A20" s="816" t="s">
        <v>559</v>
      </c>
      <c r="B20" s="817" t="s">
        <v>792</v>
      </c>
      <c r="C20" s="818"/>
      <c r="D20" s="819"/>
      <c r="E20" s="819"/>
      <c r="F20" s="819">
        <f t="shared" ref="F20:F31" si="4">D20-E20</f>
        <v>0</v>
      </c>
      <c r="G20" s="820"/>
      <c r="H20" s="827"/>
      <c r="I20" s="806">
        <f t="shared" si="0"/>
        <v>0</v>
      </c>
      <c r="J20" s="828"/>
      <c r="K20" s="814"/>
      <c r="L20" s="825"/>
      <c r="M20" s="815"/>
    </row>
    <row r="21" spans="1:13" hidden="1">
      <c r="A21" s="816" t="s">
        <v>562</v>
      </c>
      <c r="B21" s="817" t="s">
        <v>793</v>
      </c>
      <c r="C21" s="818"/>
      <c r="D21" s="819">
        <f>D22+D25+D26</f>
        <v>668169341</v>
      </c>
      <c r="E21" s="819">
        <f>E22+E25+E26</f>
        <v>668169341</v>
      </c>
      <c r="F21" s="819">
        <f>F22+F25+F26</f>
        <v>0</v>
      </c>
      <c r="G21" s="820">
        <f t="shared" si="3"/>
        <v>1</v>
      </c>
      <c r="H21" s="827"/>
      <c r="I21" s="806">
        <f t="shared" si="0"/>
        <v>0</v>
      </c>
      <c r="J21" s="828"/>
      <c r="K21" s="814"/>
      <c r="L21" s="825"/>
      <c r="M21" s="815"/>
    </row>
    <row r="22" spans="1:13" hidden="1">
      <c r="A22" s="816" t="s">
        <v>794</v>
      </c>
      <c r="B22" s="817" t="s">
        <v>795</v>
      </c>
      <c r="C22" s="818"/>
      <c r="D22" s="819">
        <f>D23+D24</f>
        <v>460811000</v>
      </c>
      <c r="E22" s="819">
        <f>E23+E24</f>
        <v>460811000</v>
      </c>
      <c r="F22" s="819">
        <f>F23+F24</f>
        <v>0</v>
      </c>
      <c r="G22" s="820">
        <f t="shared" si="3"/>
        <v>1</v>
      </c>
      <c r="H22" s="827"/>
      <c r="I22" s="806">
        <f t="shared" si="0"/>
        <v>0</v>
      </c>
      <c r="J22" s="828"/>
      <c r="K22" s="814"/>
      <c r="L22" s="825"/>
      <c r="M22" s="815"/>
    </row>
    <row r="23" spans="1:13" ht="49.15" hidden="1" customHeight="1">
      <c r="A23" s="816"/>
      <c r="B23" s="817" t="s">
        <v>796</v>
      </c>
      <c r="C23" s="818" t="s">
        <v>797</v>
      </c>
      <c r="D23" s="819">
        <v>109667000</v>
      </c>
      <c r="E23" s="819">
        <v>109667000</v>
      </c>
      <c r="F23" s="819">
        <f t="shared" si="4"/>
        <v>0</v>
      </c>
      <c r="G23" s="820">
        <f t="shared" si="3"/>
        <v>1</v>
      </c>
      <c r="H23" s="827"/>
      <c r="I23" s="806">
        <f t="shared" si="0"/>
        <v>0</v>
      </c>
      <c r="J23" s="828"/>
      <c r="K23" s="814"/>
      <c r="L23" s="825"/>
      <c r="M23" s="815"/>
    </row>
    <row r="24" spans="1:13" ht="49.15" hidden="1" customHeight="1">
      <c r="A24" s="816"/>
      <c r="B24" s="817" t="s">
        <v>798</v>
      </c>
      <c r="C24" s="818" t="s">
        <v>799</v>
      </c>
      <c r="D24" s="819">
        <v>351144000</v>
      </c>
      <c r="E24" s="819">
        <v>351144000</v>
      </c>
      <c r="F24" s="819">
        <f t="shared" si="4"/>
        <v>0</v>
      </c>
      <c r="G24" s="820">
        <f t="shared" si="3"/>
        <v>1</v>
      </c>
      <c r="H24" s="827"/>
      <c r="I24" s="806">
        <f t="shared" si="0"/>
        <v>0</v>
      </c>
      <c r="J24" s="828"/>
      <c r="K24" s="814"/>
      <c r="L24" s="825"/>
      <c r="M24" s="815"/>
    </row>
    <row r="25" spans="1:13" hidden="1">
      <c r="A25" s="816" t="s">
        <v>800</v>
      </c>
      <c r="B25" s="817" t="s">
        <v>801</v>
      </c>
      <c r="C25" s="818"/>
      <c r="D25" s="819"/>
      <c r="E25" s="819"/>
      <c r="F25" s="819">
        <f t="shared" si="4"/>
        <v>0</v>
      </c>
      <c r="G25" s="820"/>
      <c r="H25" s="827"/>
      <c r="I25" s="806">
        <f t="shared" si="0"/>
        <v>0</v>
      </c>
      <c r="J25" s="828"/>
      <c r="K25" s="814"/>
      <c r="L25" s="825"/>
      <c r="M25" s="815"/>
    </row>
    <row r="26" spans="1:13" hidden="1">
      <c r="A26" s="816" t="s">
        <v>802</v>
      </c>
      <c r="B26" s="817" t="s">
        <v>803</v>
      </c>
      <c r="C26" s="818"/>
      <c r="D26" s="819">
        <f>SUM(D27:D31)</f>
        <v>207358341</v>
      </c>
      <c r="E26" s="819">
        <f>SUM(E27:E31)</f>
        <v>207358341</v>
      </c>
      <c r="F26" s="819">
        <f>SUM(F27:F31)</f>
        <v>0</v>
      </c>
      <c r="G26" s="820">
        <f t="shared" si="3"/>
        <v>1</v>
      </c>
      <c r="H26" s="827"/>
      <c r="I26" s="806">
        <f t="shared" si="0"/>
        <v>0</v>
      </c>
      <c r="J26" s="828"/>
      <c r="K26" s="814"/>
      <c r="L26" s="825"/>
      <c r="M26" s="815"/>
    </row>
    <row r="27" spans="1:13" ht="61.15" hidden="1" customHeight="1">
      <c r="A27" s="816"/>
      <c r="B27" s="817" t="s">
        <v>804</v>
      </c>
      <c r="C27" s="818" t="s">
        <v>805</v>
      </c>
      <c r="D27" s="819">
        <v>9408000</v>
      </c>
      <c r="E27" s="819">
        <v>9408000</v>
      </c>
      <c r="F27" s="819">
        <f t="shared" si="4"/>
        <v>0</v>
      </c>
      <c r="G27" s="820">
        <f t="shared" si="3"/>
        <v>1</v>
      </c>
      <c r="H27" s="827"/>
      <c r="I27" s="806">
        <f t="shared" si="0"/>
        <v>0</v>
      </c>
      <c r="J27" s="828"/>
      <c r="K27" s="814"/>
      <c r="L27" s="825"/>
      <c r="M27" s="815"/>
    </row>
    <row r="28" spans="1:13" ht="88.9" hidden="1" customHeight="1">
      <c r="A28" s="816"/>
      <c r="B28" s="817" t="s">
        <v>806</v>
      </c>
      <c r="C28" s="818" t="s">
        <v>807</v>
      </c>
      <c r="D28" s="819">
        <v>14028531</v>
      </c>
      <c r="E28" s="819">
        <v>14028531</v>
      </c>
      <c r="F28" s="819">
        <f t="shared" si="4"/>
        <v>0</v>
      </c>
      <c r="G28" s="820">
        <f t="shared" si="3"/>
        <v>1</v>
      </c>
      <c r="H28" s="827"/>
      <c r="I28" s="806">
        <f t="shared" si="0"/>
        <v>0</v>
      </c>
      <c r="J28" s="828"/>
      <c r="K28" s="814"/>
      <c r="L28" s="825"/>
      <c r="M28" s="815"/>
    </row>
    <row r="29" spans="1:13" ht="148.15" hidden="1" customHeight="1">
      <c r="A29" s="816"/>
      <c r="B29" s="817" t="s">
        <v>808</v>
      </c>
      <c r="C29" s="818" t="s">
        <v>809</v>
      </c>
      <c r="D29" s="819">
        <v>55638090</v>
      </c>
      <c r="E29" s="819">
        <f>15545000+12328000+2634000+11977000+9323000+3832000-910</f>
        <v>55638090</v>
      </c>
      <c r="F29" s="819">
        <f t="shared" si="4"/>
        <v>0</v>
      </c>
      <c r="G29" s="820">
        <f t="shared" si="3"/>
        <v>1</v>
      </c>
      <c r="H29" s="827"/>
      <c r="I29" s="806">
        <f t="shared" si="0"/>
        <v>0</v>
      </c>
      <c r="J29" s="828"/>
      <c r="K29" s="814"/>
      <c r="L29" s="825"/>
      <c r="M29" s="815"/>
    </row>
    <row r="30" spans="1:13" ht="60" hidden="1">
      <c r="A30" s="816"/>
      <c r="B30" s="817" t="s">
        <v>810</v>
      </c>
      <c r="C30" s="818" t="s">
        <v>811</v>
      </c>
      <c r="D30" s="819">
        <v>3809735</v>
      </c>
      <c r="E30" s="819">
        <v>3809735</v>
      </c>
      <c r="F30" s="819">
        <f t="shared" si="4"/>
        <v>0</v>
      </c>
      <c r="G30" s="820">
        <f t="shared" si="3"/>
        <v>1</v>
      </c>
      <c r="H30" s="827"/>
      <c r="I30" s="806">
        <f t="shared" si="0"/>
        <v>0</v>
      </c>
      <c r="J30" s="828"/>
      <c r="K30" s="814"/>
      <c r="L30" s="825"/>
      <c r="M30" s="815"/>
    </row>
    <row r="31" spans="1:13" ht="96.6" hidden="1" customHeight="1">
      <c r="A31" s="816"/>
      <c r="B31" s="817" t="s">
        <v>812</v>
      </c>
      <c r="C31" s="818" t="s">
        <v>813</v>
      </c>
      <c r="D31" s="819">
        <v>124473985</v>
      </c>
      <c r="E31" s="819">
        <v>124473985</v>
      </c>
      <c r="F31" s="819">
        <f t="shared" si="4"/>
        <v>0</v>
      </c>
      <c r="G31" s="820">
        <f t="shared" si="3"/>
        <v>1</v>
      </c>
      <c r="H31" s="827"/>
      <c r="I31" s="806">
        <f t="shared" si="0"/>
        <v>0</v>
      </c>
      <c r="J31" s="828"/>
      <c r="K31" s="814"/>
      <c r="L31" s="825"/>
      <c r="M31" s="815"/>
    </row>
    <row r="32" spans="1:13">
      <c r="A32" s="816">
        <v>2</v>
      </c>
      <c r="B32" s="817" t="s">
        <v>814</v>
      </c>
      <c r="C32" s="818"/>
      <c r="D32" s="819">
        <f>D33</f>
        <v>739000000</v>
      </c>
      <c r="E32" s="819">
        <f>E33</f>
        <v>739000000</v>
      </c>
      <c r="F32" s="819">
        <f>F33</f>
        <v>0</v>
      </c>
      <c r="G32" s="820">
        <f t="shared" si="3"/>
        <v>1</v>
      </c>
      <c r="H32" s="827"/>
      <c r="I32" s="806">
        <f t="shared" si="0"/>
        <v>0</v>
      </c>
      <c r="J32" s="828"/>
      <c r="K32" s="814"/>
      <c r="L32" s="825"/>
      <c r="M32" s="815"/>
    </row>
    <row r="33" spans="1:13" ht="57.6" hidden="1" customHeight="1">
      <c r="A33" s="816"/>
      <c r="B33" s="817" t="s">
        <v>815</v>
      </c>
      <c r="C33" s="818" t="s">
        <v>816</v>
      </c>
      <c r="D33" s="819">
        <v>739000000</v>
      </c>
      <c r="E33" s="819">
        <v>739000000</v>
      </c>
      <c r="F33" s="819">
        <f t="shared" ref="F33:F84" si="5">D33-E33</f>
        <v>0</v>
      </c>
      <c r="G33" s="820">
        <f t="shared" si="3"/>
        <v>1</v>
      </c>
      <c r="H33" s="827"/>
      <c r="I33" s="806">
        <f t="shared" si="0"/>
        <v>0</v>
      </c>
      <c r="J33" s="828"/>
      <c r="K33" s="814"/>
      <c r="L33" s="825"/>
      <c r="M33" s="815"/>
    </row>
    <row r="34" spans="1:13" ht="31.5">
      <c r="A34" s="816">
        <v>3</v>
      </c>
      <c r="B34" s="817" t="s">
        <v>817</v>
      </c>
      <c r="C34" s="818"/>
      <c r="D34" s="819">
        <f>D35+D38</f>
        <v>5552422700</v>
      </c>
      <c r="E34" s="819">
        <f>E35+E38</f>
        <v>5552422700</v>
      </c>
      <c r="F34" s="819">
        <f>F35+F38</f>
        <v>0</v>
      </c>
      <c r="G34" s="820">
        <f t="shared" si="3"/>
        <v>1</v>
      </c>
      <c r="H34" s="827"/>
      <c r="I34" s="806">
        <f t="shared" si="0"/>
        <v>0</v>
      </c>
      <c r="J34" s="828"/>
      <c r="K34" s="814"/>
      <c r="L34" s="825"/>
      <c r="M34" s="815"/>
    </row>
    <row r="35" spans="1:13" hidden="1">
      <c r="A35" s="816" t="s">
        <v>559</v>
      </c>
      <c r="B35" s="817" t="s">
        <v>795</v>
      </c>
      <c r="C35" s="818"/>
      <c r="D35" s="819">
        <f>SUM(D36:D37)</f>
        <v>765000000</v>
      </c>
      <c r="E35" s="819">
        <f>SUM(E36:E37)</f>
        <v>765000000</v>
      </c>
      <c r="F35" s="819">
        <f>SUM(F36:F37)</f>
        <v>0</v>
      </c>
      <c r="G35" s="820">
        <f t="shared" si="3"/>
        <v>1</v>
      </c>
      <c r="H35" s="827"/>
      <c r="I35" s="806">
        <f t="shared" si="0"/>
        <v>0</v>
      </c>
      <c r="J35" s="828"/>
      <c r="K35" s="814"/>
      <c r="L35" s="825"/>
      <c r="M35" s="815"/>
    </row>
    <row r="36" spans="1:13" ht="68.45" hidden="1" customHeight="1">
      <c r="A36" s="816"/>
      <c r="B36" s="817" t="s">
        <v>818</v>
      </c>
      <c r="C36" s="818" t="s">
        <v>819</v>
      </c>
      <c r="D36" s="819">
        <v>437000000</v>
      </c>
      <c r="E36" s="819">
        <v>437000000</v>
      </c>
      <c r="F36" s="819">
        <f t="shared" si="5"/>
        <v>0</v>
      </c>
      <c r="G36" s="820">
        <f t="shared" si="3"/>
        <v>1</v>
      </c>
      <c r="H36" s="827"/>
      <c r="I36" s="806">
        <f t="shared" si="0"/>
        <v>0</v>
      </c>
      <c r="J36" s="828"/>
      <c r="K36" s="814"/>
      <c r="L36" s="825"/>
      <c r="M36" s="815"/>
    </row>
    <row r="37" spans="1:13" ht="53.45" hidden="1" customHeight="1">
      <c r="A37" s="816"/>
      <c r="B37" s="817" t="s">
        <v>820</v>
      </c>
      <c r="C37" s="818" t="s">
        <v>821</v>
      </c>
      <c r="D37" s="819">
        <v>328000000</v>
      </c>
      <c r="E37" s="819">
        <v>328000000</v>
      </c>
      <c r="F37" s="819">
        <f t="shared" si="5"/>
        <v>0</v>
      </c>
      <c r="G37" s="820">
        <f t="shared" si="3"/>
        <v>1</v>
      </c>
      <c r="H37" s="827"/>
      <c r="I37" s="806">
        <f t="shared" si="0"/>
        <v>0</v>
      </c>
      <c r="J37" s="828"/>
      <c r="K37" s="814"/>
      <c r="L37" s="825"/>
      <c r="M37" s="815"/>
    </row>
    <row r="38" spans="1:13" hidden="1">
      <c r="A38" s="816" t="s">
        <v>562</v>
      </c>
      <c r="B38" s="817" t="s">
        <v>801</v>
      </c>
      <c r="C38" s="818"/>
      <c r="D38" s="819">
        <f>D39+D40+D43</f>
        <v>4787422700</v>
      </c>
      <c r="E38" s="819">
        <f>E39+E40+E43</f>
        <v>4787422700</v>
      </c>
      <c r="F38" s="819">
        <f>F39+F40+F43</f>
        <v>0</v>
      </c>
      <c r="G38" s="820">
        <f t="shared" si="3"/>
        <v>1</v>
      </c>
      <c r="H38" s="827"/>
      <c r="I38" s="806">
        <f t="shared" si="0"/>
        <v>0</v>
      </c>
      <c r="J38" s="828"/>
      <c r="K38" s="814"/>
      <c r="L38" s="825"/>
      <c r="M38" s="815"/>
    </row>
    <row r="39" spans="1:13" ht="92.45" hidden="1" customHeight="1">
      <c r="A39" s="816"/>
      <c r="B39" s="817" t="s">
        <v>822</v>
      </c>
      <c r="C39" s="818" t="s">
        <v>823</v>
      </c>
      <c r="D39" s="819">
        <v>2824235500</v>
      </c>
      <c r="E39" s="819">
        <v>2824235500</v>
      </c>
      <c r="F39" s="819">
        <f t="shared" si="5"/>
        <v>0</v>
      </c>
      <c r="G39" s="820">
        <f t="shared" si="3"/>
        <v>1</v>
      </c>
      <c r="H39" s="827"/>
      <c r="I39" s="806">
        <f t="shared" si="0"/>
        <v>0</v>
      </c>
      <c r="J39" s="828"/>
      <c r="K39" s="814"/>
      <c r="L39" s="825"/>
      <c r="M39" s="815"/>
    </row>
    <row r="40" spans="1:13" hidden="1">
      <c r="A40" s="816"/>
      <c r="B40" s="817" t="s">
        <v>824</v>
      </c>
      <c r="C40" s="818"/>
      <c r="D40" s="819">
        <v>1730000000</v>
      </c>
      <c r="E40" s="819">
        <f>E41+E42</f>
        <v>1730000000</v>
      </c>
      <c r="F40" s="819">
        <f t="shared" si="5"/>
        <v>0</v>
      </c>
      <c r="G40" s="820">
        <f t="shared" si="3"/>
        <v>1</v>
      </c>
      <c r="H40" s="827"/>
      <c r="I40" s="806">
        <f t="shared" si="0"/>
        <v>0</v>
      </c>
      <c r="J40" s="828"/>
      <c r="K40" s="814"/>
      <c r="L40" s="825"/>
      <c r="M40" s="815"/>
    </row>
    <row r="41" spans="1:13" ht="65.45" hidden="1" customHeight="1">
      <c r="A41" s="816"/>
      <c r="B41" s="817"/>
      <c r="C41" s="818" t="s">
        <v>825</v>
      </c>
      <c r="D41" s="819">
        <v>1409000000</v>
      </c>
      <c r="E41" s="819">
        <v>1409000000</v>
      </c>
      <c r="F41" s="819">
        <f t="shared" si="5"/>
        <v>0</v>
      </c>
      <c r="G41" s="820">
        <f t="shared" si="3"/>
        <v>1</v>
      </c>
      <c r="H41" s="827"/>
      <c r="I41" s="806">
        <f t="shared" si="0"/>
        <v>0</v>
      </c>
      <c r="J41" s="828"/>
      <c r="K41" s="814"/>
      <c r="L41" s="825"/>
      <c r="M41" s="815"/>
    </row>
    <row r="42" spans="1:13" ht="34.15" hidden="1" customHeight="1">
      <c r="A42" s="816"/>
      <c r="B42" s="817"/>
      <c r="C42" s="818" t="s">
        <v>826</v>
      </c>
      <c r="D42" s="819">
        <v>321000000</v>
      </c>
      <c r="E42" s="819">
        <v>321000000</v>
      </c>
      <c r="F42" s="819">
        <f t="shared" si="5"/>
        <v>0</v>
      </c>
      <c r="G42" s="820">
        <f t="shared" si="3"/>
        <v>1</v>
      </c>
      <c r="H42" s="827"/>
      <c r="I42" s="806">
        <f t="shared" si="0"/>
        <v>0</v>
      </c>
      <c r="J42" s="828"/>
      <c r="K42" s="814"/>
      <c r="L42" s="825"/>
      <c r="M42" s="815"/>
    </row>
    <row r="43" spans="1:13" hidden="1">
      <c r="A43" s="816"/>
      <c r="B43" s="817" t="s">
        <v>827</v>
      </c>
      <c r="C43" s="818"/>
      <c r="D43" s="819">
        <v>233187200</v>
      </c>
      <c r="E43" s="819">
        <v>233187200</v>
      </c>
      <c r="F43" s="819">
        <f t="shared" si="5"/>
        <v>0</v>
      </c>
      <c r="G43" s="820">
        <f t="shared" si="3"/>
        <v>1</v>
      </c>
      <c r="H43" s="827"/>
      <c r="I43" s="806">
        <f t="shared" si="0"/>
        <v>0</v>
      </c>
      <c r="J43" s="828"/>
      <c r="K43" s="814"/>
      <c r="L43" s="825"/>
      <c r="M43" s="815"/>
    </row>
    <row r="44" spans="1:13" ht="46.9" hidden="1" customHeight="1">
      <c r="A44" s="816"/>
      <c r="B44" s="817" t="s">
        <v>827</v>
      </c>
      <c r="C44" s="818" t="s">
        <v>828</v>
      </c>
      <c r="D44" s="819">
        <v>18844000</v>
      </c>
      <c r="E44" s="819">
        <v>18844000</v>
      </c>
      <c r="F44" s="819">
        <f t="shared" si="5"/>
        <v>0</v>
      </c>
      <c r="G44" s="820">
        <f t="shared" si="3"/>
        <v>1</v>
      </c>
      <c r="H44" s="827"/>
      <c r="I44" s="806">
        <f t="shared" si="0"/>
        <v>0</v>
      </c>
      <c r="J44" s="1101"/>
      <c r="K44" s="814"/>
      <c r="L44" s="825"/>
      <c r="M44" s="815"/>
    </row>
    <row r="45" spans="1:13" ht="91.5" hidden="1" customHeight="1">
      <c r="A45" s="816"/>
      <c r="B45" s="817"/>
      <c r="C45" s="818" t="s">
        <v>829</v>
      </c>
      <c r="D45" s="819">
        <v>214343200</v>
      </c>
      <c r="E45" s="819">
        <v>214343200</v>
      </c>
      <c r="F45" s="819">
        <f t="shared" si="5"/>
        <v>0</v>
      </c>
      <c r="G45" s="820">
        <f t="shared" si="3"/>
        <v>1</v>
      </c>
      <c r="H45" s="827"/>
      <c r="I45" s="806">
        <f t="shared" si="0"/>
        <v>0</v>
      </c>
      <c r="J45" s="1101"/>
      <c r="K45" s="814"/>
      <c r="L45" s="825"/>
      <c r="M45" s="815"/>
    </row>
    <row r="46" spans="1:13" ht="31.5">
      <c r="A46" s="816">
        <v>4</v>
      </c>
      <c r="B46" s="817" t="s">
        <v>585</v>
      </c>
      <c r="C46" s="818"/>
      <c r="D46" s="819">
        <f>D47+D56</f>
        <v>30448401036</v>
      </c>
      <c r="E46" s="819">
        <f>E47+E56</f>
        <v>30107617156</v>
      </c>
      <c r="F46" s="819">
        <f>F47+F56</f>
        <v>340783880</v>
      </c>
      <c r="G46" s="820">
        <f t="shared" si="3"/>
        <v>0.98880782345197427</v>
      </c>
      <c r="H46" s="827"/>
      <c r="I46" s="806">
        <f t="shared" si="0"/>
        <v>0</v>
      </c>
      <c r="J46" s="828"/>
      <c r="K46" s="814"/>
      <c r="L46" s="825"/>
      <c r="M46" s="815"/>
    </row>
    <row r="47" spans="1:13">
      <c r="A47" s="816" t="s">
        <v>559</v>
      </c>
      <c r="B47" s="817" t="s">
        <v>792</v>
      </c>
      <c r="C47" s="818"/>
      <c r="D47" s="819">
        <f>D48+D50+D53</f>
        <v>23483859442</v>
      </c>
      <c r="E47" s="819">
        <f>E48+E50+E53</f>
        <v>23483859442</v>
      </c>
      <c r="F47" s="819">
        <f>F48+F50+F53</f>
        <v>0</v>
      </c>
      <c r="G47" s="820">
        <f t="shared" si="3"/>
        <v>1</v>
      </c>
      <c r="H47" s="827"/>
      <c r="I47" s="806">
        <f t="shared" si="0"/>
        <v>0</v>
      </c>
      <c r="J47" s="828"/>
      <c r="K47" s="814"/>
      <c r="L47" s="825"/>
      <c r="M47" s="815"/>
    </row>
    <row r="48" spans="1:13" hidden="1">
      <c r="A48" s="816" t="s">
        <v>830</v>
      </c>
      <c r="B48" s="817" t="s">
        <v>831</v>
      </c>
      <c r="C48" s="818"/>
      <c r="D48" s="819">
        <f>D49</f>
        <v>20332633358</v>
      </c>
      <c r="E48" s="819">
        <f>E49</f>
        <v>20332633358</v>
      </c>
      <c r="F48" s="819">
        <f>F49</f>
        <v>0</v>
      </c>
      <c r="G48" s="820">
        <f t="shared" si="3"/>
        <v>1</v>
      </c>
      <c r="H48" s="827"/>
      <c r="I48" s="806">
        <f t="shared" si="0"/>
        <v>0</v>
      </c>
      <c r="J48" s="828"/>
      <c r="K48" s="814"/>
      <c r="L48" s="825"/>
      <c r="M48" s="815"/>
    </row>
    <row r="49" spans="1:13" ht="106.9" hidden="1" customHeight="1">
      <c r="A49" s="816"/>
      <c r="B49" s="817" t="s">
        <v>49</v>
      </c>
      <c r="C49" s="818" t="s">
        <v>832</v>
      </c>
      <c r="D49" s="819">
        <v>20332633358</v>
      </c>
      <c r="E49" s="819">
        <v>20332633358</v>
      </c>
      <c r="F49" s="819">
        <f t="shared" si="5"/>
        <v>0</v>
      </c>
      <c r="G49" s="820">
        <f t="shared" si="3"/>
        <v>1</v>
      </c>
      <c r="H49" s="827"/>
      <c r="I49" s="806">
        <f t="shared" si="0"/>
        <v>0</v>
      </c>
      <c r="J49" s="828"/>
      <c r="K49" s="814"/>
      <c r="L49" s="825"/>
      <c r="M49" s="829"/>
    </row>
    <row r="50" spans="1:13" hidden="1">
      <c r="A50" s="816" t="s">
        <v>833</v>
      </c>
      <c r="B50" s="817" t="s">
        <v>795</v>
      </c>
      <c r="C50" s="818"/>
      <c r="D50" s="819">
        <f>SUM(D51:D52)</f>
        <v>280928084</v>
      </c>
      <c r="E50" s="819">
        <f>SUM(E51:E52)</f>
        <v>280928084</v>
      </c>
      <c r="F50" s="819">
        <f>SUM(F51:F52)</f>
        <v>0</v>
      </c>
      <c r="G50" s="820">
        <f t="shared" si="3"/>
        <v>1</v>
      </c>
      <c r="H50" s="827"/>
      <c r="I50" s="806">
        <f t="shared" si="0"/>
        <v>0</v>
      </c>
      <c r="J50" s="828"/>
      <c r="K50" s="814"/>
      <c r="L50" s="825"/>
      <c r="M50" s="815"/>
    </row>
    <row r="51" spans="1:13" ht="63" hidden="1" customHeight="1">
      <c r="A51" s="816"/>
      <c r="B51" s="817" t="s">
        <v>796</v>
      </c>
      <c r="C51" s="818" t="s">
        <v>834</v>
      </c>
      <c r="D51" s="819">
        <v>63228084</v>
      </c>
      <c r="E51" s="819">
        <v>63228084</v>
      </c>
      <c r="F51" s="819">
        <f t="shared" si="5"/>
        <v>0</v>
      </c>
      <c r="G51" s="820">
        <f t="shared" si="3"/>
        <v>1</v>
      </c>
      <c r="H51" s="827"/>
      <c r="I51" s="806">
        <f t="shared" si="0"/>
        <v>0</v>
      </c>
      <c r="J51" s="828"/>
      <c r="K51" s="814"/>
      <c r="L51" s="825"/>
      <c r="M51" s="815"/>
    </row>
    <row r="52" spans="1:13" ht="52.9" hidden="1" customHeight="1">
      <c r="A52" s="816"/>
      <c r="B52" s="817" t="s">
        <v>835</v>
      </c>
      <c r="C52" s="818" t="s">
        <v>836</v>
      </c>
      <c r="D52" s="819">
        <v>217700000</v>
      </c>
      <c r="E52" s="819">
        <v>217700000</v>
      </c>
      <c r="F52" s="819">
        <f t="shared" si="5"/>
        <v>0</v>
      </c>
      <c r="G52" s="820">
        <f t="shared" si="3"/>
        <v>1</v>
      </c>
      <c r="H52" s="827"/>
      <c r="I52" s="806">
        <f t="shared" si="0"/>
        <v>0</v>
      </c>
      <c r="J52" s="828"/>
      <c r="K52" s="814"/>
      <c r="L52" s="825"/>
      <c r="M52" s="815"/>
    </row>
    <row r="53" spans="1:13" ht="21.75" hidden="1" customHeight="1">
      <c r="A53" s="816" t="s">
        <v>837</v>
      </c>
      <c r="B53" s="817" t="s">
        <v>801</v>
      </c>
      <c r="C53" s="818"/>
      <c r="D53" s="819">
        <f>SUM(D54:D55)</f>
        <v>2870298000</v>
      </c>
      <c r="E53" s="819">
        <f>SUM(E54:E55)</f>
        <v>2870298000</v>
      </c>
      <c r="F53" s="819">
        <f>SUM(F54:F55)</f>
        <v>0</v>
      </c>
      <c r="G53" s="820">
        <f t="shared" si="3"/>
        <v>1</v>
      </c>
      <c r="H53" s="827"/>
      <c r="I53" s="806">
        <f t="shared" si="0"/>
        <v>0</v>
      </c>
      <c r="J53" s="828"/>
      <c r="K53" s="814"/>
      <c r="L53" s="825"/>
      <c r="M53" s="815"/>
    </row>
    <row r="54" spans="1:13" ht="57.75" hidden="1" customHeight="1">
      <c r="A54" s="816"/>
      <c r="B54" s="817" t="s">
        <v>838</v>
      </c>
      <c r="C54" s="818" t="s">
        <v>839</v>
      </c>
      <c r="D54" s="819">
        <v>103298000</v>
      </c>
      <c r="E54" s="819">
        <v>103298000</v>
      </c>
      <c r="F54" s="819">
        <f t="shared" si="5"/>
        <v>0</v>
      </c>
      <c r="G54" s="820">
        <f t="shared" si="3"/>
        <v>1</v>
      </c>
      <c r="H54" s="827"/>
      <c r="I54" s="806">
        <f t="shared" si="0"/>
        <v>0</v>
      </c>
      <c r="J54" s="828"/>
      <c r="K54" s="814"/>
      <c r="L54" s="825"/>
      <c r="M54" s="815"/>
    </row>
    <row r="55" spans="1:13" hidden="1">
      <c r="A55" s="816"/>
      <c r="B55" s="817" t="s">
        <v>824</v>
      </c>
      <c r="C55" s="818" t="s">
        <v>840</v>
      </c>
      <c r="D55" s="819">
        <v>2767000000</v>
      </c>
      <c r="E55" s="819">
        <v>2767000000</v>
      </c>
      <c r="F55" s="819">
        <f t="shared" si="5"/>
        <v>0</v>
      </c>
      <c r="G55" s="820">
        <f t="shared" si="3"/>
        <v>1</v>
      </c>
      <c r="H55" s="827"/>
      <c r="I55" s="806">
        <f t="shared" si="0"/>
        <v>0</v>
      </c>
      <c r="J55" s="828"/>
      <c r="K55" s="814"/>
      <c r="L55" s="825"/>
      <c r="M55" s="815"/>
    </row>
    <row r="56" spans="1:13">
      <c r="A56" s="816" t="s">
        <v>562</v>
      </c>
      <c r="B56" s="817" t="s">
        <v>793</v>
      </c>
      <c r="C56" s="818"/>
      <c r="D56" s="819">
        <f>D57+D59</f>
        <v>6964541594</v>
      </c>
      <c r="E56" s="819">
        <f>E57+E59</f>
        <v>6623757714</v>
      </c>
      <c r="F56" s="819">
        <f>F57+F59</f>
        <v>340783880</v>
      </c>
      <c r="G56" s="820">
        <f t="shared" si="3"/>
        <v>0.95106872786952878</v>
      </c>
      <c r="H56" s="827"/>
      <c r="I56" s="806">
        <f t="shared" si="0"/>
        <v>0</v>
      </c>
      <c r="J56" s="828"/>
      <c r="K56" s="814"/>
      <c r="L56" s="825"/>
      <c r="M56" s="815"/>
    </row>
    <row r="57" spans="1:13" ht="19.899999999999999" customHeight="1">
      <c r="A57" s="816" t="s">
        <v>794</v>
      </c>
      <c r="B57" s="817" t="s">
        <v>795</v>
      </c>
      <c r="C57" s="818"/>
      <c r="D57" s="819">
        <f>D58</f>
        <v>153589000</v>
      </c>
      <c r="E57" s="819">
        <f>E58</f>
        <v>153589000</v>
      </c>
      <c r="F57" s="819">
        <f>F58</f>
        <v>0</v>
      </c>
      <c r="G57" s="820">
        <f t="shared" si="3"/>
        <v>1</v>
      </c>
      <c r="H57" s="827"/>
      <c r="I57" s="806">
        <f t="shared" si="0"/>
        <v>0</v>
      </c>
      <c r="J57" s="828"/>
      <c r="K57" s="814"/>
      <c r="L57" s="825"/>
      <c r="M57" s="815"/>
    </row>
    <row r="58" spans="1:13" ht="64.900000000000006" hidden="1" customHeight="1">
      <c r="A58" s="816"/>
      <c r="B58" s="817" t="s">
        <v>276</v>
      </c>
      <c r="C58" s="818" t="s">
        <v>841</v>
      </c>
      <c r="D58" s="819">
        <v>153589000</v>
      </c>
      <c r="E58" s="819">
        <v>153589000</v>
      </c>
      <c r="F58" s="819">
        <f t="shared" si="5"/>
        <v>0</v>
      </c>
      <c r="G58" s="820">
        <f t="shared" si="3"/>
        <v>1</v>
      </c>
      <c r="H58" s="827"/>
      <c r="I58" s="806">
        <f t="shared" si="0"/>
        <v>0</v>
      </c>
      <c r="J58" s="828"/>
      <c r="K58" s="814"/>
      <c r="L58" s="825"/>
      <c r="M58" s="815"/>
    </row>
    <row r="59" spans="1:13">
      <c r="A59" s="816" t="s">
        <v>800</v>
      </c>
      <c r="B59" s="817" t="s">
        <v>803</v>
      </c>
      <c r="C59" s="818"/>
      <c r="D59" s="819">
        <f>D60+D64+D67+D70+D71+D72+D73</f>
        <v>6810952594</v>
      </c>
      <c r="E59" s="819">
        <f>E60+E64+E67+E70+E71+E72+E73</f>
        <v>6470168714</v>
      </c>
      <c r="F59" s="819">
        <f>F60+F64+F67+F70+F71+F72+F73</f>
        <v>340783880</v>
      </c>
      <c r="G59" s="820">
        <f t="shared" si="3"/>
        <v>0.94996531317804089</v>
      </c>
      <c r="H59" s="827"/>
      <c r="I59" s="806">
        <f t="shared" si="0"/>
        <v>0</v>
      </c>
      <c r="J59" s="828"/>
      <c r="K59" s="814"/>
      <c r="L59" s="825"/>
      <c r="M59" s="815"/>
    </row>
    <row r="60" spans="1:13" hidden="1">
      <c r="A60" s="816"/>
      <c r="B60" s="817" t="s">
        <v>804</v>
      </c>
      <c r="C60" s="818"/>
      <c r="D60" s="819">
        <f>SUM(D61:D63)</f>
        <v>698657697</v>
      </c>
      <c r="E60" s="819">
        <f>SUM(E61:E63)</f>
        <v>698657697</v>
      </c>
      <c r="F60" s="819">
        <f>SUM(F61:F63)</f>
        <v>0</v>
      </c>
      <c r="G60" s="820">
        <f t="shared" si="3"/>
        <v>1</v>
      </c>
      <c r="H60" s="827"/>
      <c r="I60" s="806">
        <f t="shared" si="0"/>
        <v>0</v>
      </c>
      <c r="J60" s="828"/>
      <c r="K60" s="814"/>
      <c r="L60" s="825"/>
      <c r="M60" s="815"/>
    </row>
    <row r="61" spans="1:13" ht="48.6" hidden="1" customHeight="1">
      <c r="A61" s="816"/>
      <c r="B61" s="817"/>
      <c r="C61" s="818" t="s">
        <v>842</v>
      </c>
      <c r="D61" s="819">
        <v>62618194</v>
      </c>
      <c r="E61" s="819">
        <f>62618194</f>
        <v>62618194</v>
      </c>
      <c r="F61" s="819">
        <f t="shared" si="5"/>
        <v>0</v>
      </c>
      <c r="G61" s="820">
        <f t="shared" si="3"/>
        <v>1</v>
      </c>
      <c r="H61" s="827"/>
      <c r="I61" s="806">
        <f t="shared" si="0"/>
        <v>0</v>
      </c>
      <c r="J61" s="828"/>
      <c r="K61" s="814"/>
      <c r="L61" s="825"/>
      <c r="M61" s="815"/>
    </row>
    <row r="62" spans="1:13" ht="30" hidden="1">
      <c r="A62" s="816"/>
      <c r="B62" s="817"/>
      <c r="C62" s="818" t="s">
        <v>843</v>
      </c>
      <c r="D62" s="819">
        <v>485909551</v>
      </c>
      <c r="E62" s="819">
        <f>D62</f>
        <v>485909551</v>
      </c>
      <c r="F62" s="819">
        <f t="shared" si="5"/>
        <v>0</v>
      </c>
      <c r="G62" s="820">
        <f t="shared" si="3"/>
        <v>1</v>
      </c>
      <c r="H62" s="827"/>
      <c r="I62" s="806">
        <f t="shared" si="0"/>
        <v>0</v>
      </c>
      <c r="J62" s="828"/>
      <c r="K62" s="814"/>
      <c r="L62" s="825"/>
      <c r="M62" s="830"/>
    </row>
    <row r="63" spans="1:13" ht="48.6" hidden="1" customHeight="1">
      <c r="A63" s="816"/>
      <c r="B63" s="817"/>
      <c r="C63" s="818" t="s">
        <v>844</v>
      </c>
      <c r="D63" s="819">
        <v>150129952</v>
      </c>
      <c r="E63" s="819">
        <v>150129952</v>
      </c>
      <c r="F63" s="819">
        <f t="shared" si="5"/>
        <v>0</v>
      </c>
      <c r="G63" s="820">
        <f t="shared" si="3"/>
        <v>1</v>
      </c>
      <c r="H63" s="827"/>
      <c r="I63" s="806">
        <f t="shared" si="0"/>
        <v>0</v>
      </c>
      <c r="J63" s="828"/>
      <c r="K63" s="814"/>
      <c r="L63" s="825"/>
      <c r="M63" s="815"/>
    </row>
    <row r="64" spans="1:13" hidden="1">
      <c r="A64" s="816"/>
      <c r="B64" s="817" t="s">
        <v>845</v>
      </c>
      <c r="C64" s="818"/>
      <c r="D64" s="819">
        <v>2752282615</v>
      </c>
      <c r="E64" s="819">
        <f>E65+E66</f>
        <v>2752282615</v>
      </c>
      <c r="F64" s="819">
        <f t="shared" si="5"/>
        <v>0</v>
      </c>
      <c r="G64" s="820">
        <f t="shared" si="3"/>
        <v>1</v>
      </c>
      <c r="H64" s="827"/>
      <c r="I64" s="806">
        <f t="shared" si="0"/>
        <v>0</v>
      </c>
      <c r="J64" s="828"/>
      <c r="K64" s="814"/>
      <c r="L64" s="825"/>
      <c r="M64" s="815"/>
    </row>
    <row r="65" spans="1:14" ht="21" hidden="1" customHeight="1">
      <c r="A65" s="816"/>
      <c r="B65" s="817"/>
      <c r="C65" s="818" t="s">
        <v>846</v>
      </c>
      <c r="D65" s="819">
        <v>1674963658</v>
      </c>
      <c r="E65" s="819">
        <v>1674963658</v>
      </c>
      <c r="F65" s="819">
        <f t="shared" si="5"/>
        <v>0</v>
      </c>
      <c r="G65" s="820">
        <f t="shared" si="3"/>
        <v>1</v>
      </c>
      <c r="H65" s="827"/>
      <c r="I65" s="806">
        <f t="shared" si="0"/>
        <v>0</v>
      </c>
      <c r="J65" s="828"/>
      <c r="K65" s="814"/>
      <c r="L65" s="825"/>
      <c r="M65" s="831"/>
    </row>
    <row r="66" spans="1:14" ht="94.9" hidden="1" customHeight="1">
      <c r="A66" s="816"/>
      <c r="B66" s="817"/>
      <c r="C66" s="818" t="s">
        <v>847</v>
      </c>
      <c r="D66" s="819">
        <f>707493633+369825324</f>
        <v>1077318957</v>
      </c>
      <c r="E66" s="819">
        <v>1077318957</v>
      </c>
      <c r="F66" s="819">
        <f t="shared" si="5"/>
        <v>0</v>
      </c>
      <c r="G66" s="820">
        <f t="shared" si="3"/>
        <v>1</v>
      </c>
      <c r="H66" s="827"/>
      <c r="I66" s="806">
        <f t="shared" si="0"/>
        <v>0</v>
      </c>
      <c r="J66" s="828"/>
      <c r="K66" s="814"/>
      <c r="L66" s="825"/>
      <c r="M66" s="815"/>
    </row>
    <row r="67" spans="1:14">
      <c r="A67" s="816"/>
      <c r="B67" s="817" t="s">
        <v>806</v>
      </c>
      <c r="C67" s="818"/>
      <c r="D67" s="819">
        <v>2197646696</v>
      </c>
      <c r="E67" s="819">
        <f>SUM(E68:E69)</f>
        <v>1856862816</v>
      </c>
      <c r="F67" s="819">
        <f t="shared" si="5"/>
        <v>340783880</v>
      </c>
      <c r="G67" s="820">
        <f t="shared" si="3"/>
        <v>0.84493236304986119</v>
      </c>
      <c r="H67" s="827"/>
      <c r="I67" s="806">
        <f t="shared" si="0"/>
        <v>0</v>
      </c>
      <c r="J67" s="828"/>
      <c r="K67" s="814"/>
      <c r="L67" s="825"/>
      <c r="M67" s="815"/>
    </row>
    <row r="68" spans="1:14" ht="48" hidden="1" customHeight="1">
      <c r="A68" s="816"/>
      <c r="B68" s="817"/>
      <c r="C68" s="818" t="s">
        <v>848</v>
      </c>
      <c r="D68" s="819">
        <v>318185343</v>
      </c>
      <c r="E68" s="819">
        <v>318185343</v>
      </c>
      <c r="F68" s="819">
        <f t="shared" si="5"/>
        <v>0</v>
      </c>
      <c r="G68" s="820">
        <f t="shared" si="3"/>
        <v>1</v>
      </c>
      <c r="H68" s="827"/>
      <c r="I68" s="806">
        <f t="shared" si="0"/>
        <v>0</v>
      </c>
      <c r="J68" s="828"/>
      <c r="K68" s="814"/>
      <c r="L68" s="825"/>
      <c r="M68" s="815"/>
    </row>
    <row r="69" spans="1:14" ht="59.45" customHeight="1">
      <c r="A69" s="816"/>
      <c r="B69" s="817"/>
      <c r="C69" s="818" t="s">
        <v>849</v>
      </c>
      <c r="D69" s="819">
        <v>1879461353</v>
      </c>
      <c r="E69" s="819">
        <f>897710600+640966873</f>
        <v>1538677473</v>
      </c>
      <c r="F69" s="819">
        <f t="shared" si="5"/>
        <v>340783880</v>
      </c>
      <c r="G69" s="820">
        <f t="shared" si="3"/>
        <v>0.81868002794734773</v>
      </c>
      <c r="H69" s="827"/>
      <c r="I69" s="806">
        <f t="shared" si="0"/>
        <v>0</v>
      </c>
      <c r="J69" s="832"/>
      <c r="K69" s="814"/>
      <c r="L69" s="825"/>
      <c r="M69" s="815"/>
      <c r="N69" s="833"/>
    </row>
    <row r="70" spans="1:14" ht="107.25" customHeight="1">
      <c r="A70" s="816"/>
      <c r="B70" s="817" t="s">
        <v>850</v>
      </c>
      <c r="C70" s="818" t="s">
        <v>851</v>
      </c>
      <c r="D70" s="819">
        <v>836993207</v>
      </c>
      <c r="E70" s="819">
        <f>829206000+7787207</f>
        <v>836993207</v>
      </c>
      <c r="F70" s="819">
        <f t="shared" si="5"/>
        <v>0</v>
      </c>
      <c r="G70" s="820">
        <f t="shared" si="3"/>
        <v>1</v>
      </c>
      <c r="H70" s="827"/>
      <c r="I70" s="806">
        <f t="shared" si="0"/>
        <v>0</v>
      </c>
      <c r="J70" s="834"/>
      <c r="K70" s="814"/>
      <c r="L70" s="825"/>
      <c r="M70" s="815"/>
    </row>
    <row r="71" spans="1:14" ht="39" hidden="1" customHeight="1">
      <c r="A71" s="816"/>
      <c r="B71" s="817" t="s">
        <v>808</v>
      </c>
      <c r="C71" s="818" t="s">
        <v>852</v>
      </c>
      <c r="D71" s="819">
        <v>88339911</v>
      </c>
      <c r="E71" s="819">
        <v>88339911</v>
      </c>
      <c r="F71" s="819">
        <f t="shared" si="5"/>
        <v>0</v>
      </c>
      <c r="G71" s="820">
        <f t="shared" si="3"/>
        <v>1</v>
      </c>
      <c r="H71" s="827"/>
      <c r="I71" s="806">
        <f t="shared" si="0"/>
        <v>0</v>
      </c>
      <c r="J71" s="828"/>
      <c r="K71" s="814"/>
      <c r="L71" s="825"/>
      <c r="M71" s="815"/>
    </row>
    <row r="72" spans="1:14" ht="47.45" hidden="1" customHeight="1">
      <c r="A72" s="816"/>
      <c r="B72" s="817" t="s">
        <v>853</v>
      </c>
      <c r="C72" s="818" t="s">
        <v>854</v>
      </c>
      <c r="D72" s="819">
        <v>74612468</v>
      </c>
      <c r="E72" s="819">
        <f>34360700+(39537125+714643)</f>
        <v>74612468</v>
      </c>
      <c r="F72" s="819">
        <f t="shared" si="5"/>
        <v>0</v>
      </c>
      <c r="G72" s="820">
        <f t="shared" si="3"/>
        <v>1</v>
      </c>
      <c r="H72" s="827"/>
      <c r="I72" s="806">
        <f t="shared" ref="I72:I135" si="6">D72-E72-F72</f>
        <v>0</v>
      </c>
      <c r="J72" s="828"/>
      <c r="K72" s="814"/>
      <c r="L72" s="825"/>
      <c r="M72" s="815"/>
    </row>
    <row r="73" spans="1:14" ht="60.6" hidden="1" customHeight="1">
      <c r="A73" s="816"/>
      <c r="B73" s="817" t="s">
        <v>855</v>
      </c>
      <c r="C73" s="818" t="s">
        <v>856</v>
      </c>
      <c r="D73" s="819">
        <v>162420000</v>
      </c>
      <c r="E73" s="819">
        <f>28148000+134272000</f>
        <v>162420000</v>
      </c>
      <c r="F73" s="819">
        <f t="shared" si="5"/>
        <v>0</v>
      </c>
      <c r="G73" s="820">
        <f t="shared" si="3"/>
        <v>1</v>
      </c>
      <c r="H73" s="827"/>
      <c r="I73" s="806">
        <f t="shared" si="6"/>
        <v>0</v>
      </c>
      <c r="J73" s="828"/>
      <c r="K73" s="814"/>
      <c r="L73" s="825"/>
      <c r="M73" s="815"/>
    </row>
    <row r="74" spans="1:14">
      <c r="A74" s="816">
        <v>5</v>
      </c>
      <c r="B74" s="817" t="s">
        <v>857</v>
      </c>
      <c r="C74" s="818"/>
      <c r="D74" s="819">
        <f>SUM(D75:D77)</f>
        <v>11903063795</v>
      </c>
      <c r="E74" s="819">
        <f>SUM(E75:E77)</f>
        <v>11903063795</v>
      </c>
      <c r="F74" s="819">
        <f>SUM(F75:F77)</f>
        <v>0</v>
      </c>
      <c r="G74" s="820">
        <f t="shared" si="3"/>
        <v>1</v>
      </c>
      <c r="H74" s="827"/>
      <c r="I74" s="806">
        <f t="shared" si="6"/>
        <v>0</v>
      </c>
      <c r="J74" s="828"/>
      <c r="K74" s="814"/>
      <c r="L74" s="825"/>
      <c r="M74" s="815"/>
    </row>
    <row r="75" spans="1:14" ht="67.900000000000006" hidden="1" customHeight="1">
      <c r="A75" s="816"/>
      <c r="B75" s="817" t="s">
        <v>804</v>
      </c>
      <c r="C75" s="818" t="s">
        <v>858</v>
      </c>
      <c r="D75" s="819">
        <v>11358809445</v>
      </c>
      <c r="E75" s="819">
        <f>D75</f>
        <v>11358809445</v>
      </c>
      <c r="F75" s="819">
        <f t="shared" si="5"/>
        <v>0</v>
      </c>
      <c r="G75" s="820">
        <f t="shared" si="3"/>
        <v>1</v>
      </c>
      <c r="H75" s="827"/>
      <c r="I75" s="806">
        <f t="shared" si="6"/>
        <v>0</v>
      </c>
      <c r="J75" s="828"/>
      <c r="K75" s="814"/>
      <c r="L75" s="825"/>
      <c r="M75" s="830"/>
    </row>
    <row r="76" spans="1:14" ht="46.9" hidden="1" customHeight="1">
      <c r="A76" s="816"/>
      <c r="B76" s="817" t="s">
        <v>806</v>
      </c>
      <c r="C76" s="818" t="s">
        <v>859</v>
      </c>
      <c r="D76" s="819">
        <v>45554547</v>
      </c>
      <c r="E76" s="819">
        <f>D76</f>
        <v>45554547</v>
      </c>
      <c r="F76" s="819">
        <f t="shared" si="5"/>
        <v>0</v>
      </c>
      <c r="G76" s="820">
        <f t="shared" si="3"/>
        <v>1</v>
      </c>
      <c r="H76" s="827"/>
      <c r="I76" s="806">
        <f t="shared" si="6"/>
        <v>0</v>
      </c>
      <c r="J76" s="828"/>
      <c r="K76" s="814"/>
      <c r="L76" s="825"/>
      <c r="M76" s="815"/>
    </row>
    <row r="77" spans="1:14" ht="55.15" hidden="1" customHeight="1">
      <c r="A77" s="816"/>
      <c r="B77" s="817" t="s">
        <v>850</v>
      </c>
      <c r="C77" s="818" t="s">
        <v>860</v>
      </c>
      <c r="D77" s="819">
        <v>498699803</v>
      </c>
      <c r="E77" s="819">
        <v>498699803</v>
      </c>
      <c r="F77" s="819">
        <f t="shared" si="5"/>
        <v>0</v>
      </c>
      <c r="G77" s="820">
        <f t="shared" si="3"/>
        <v>1</v>
      </c>
      <c r="H77" s="827"/>
      <c r="I77" s="806">
        <f t="shared" si="6"/>
        <v>0</v>
      </c>
      <c r="J77" s="828"/>
      <c r="K77" s="814"/>
      <c r="L77" s="825"/>
      <c r="M77" s="815"/>
    </row>
    <row r="78" spans="1:14">
      <c r="A78" s="816">
        <v>6</v>
      </c>
      <c r="B78" s="817" t="s">
        <v>861</v>
      </c>
      <c r="C78" s="818"/>
      <c r="D78" s="819">
        <f>D79</f>
        <v>5252140000</v>
      </c>
      <c r="E78" s="819">
        <f>E79</f>
        <v>5252140000</v>
      </c>
      <c r="F78" s="819">
        <f>F79</f>
        <v>0</v>
      </c>
      <c r="G78" s="820">
        <f t="shared" si="3"/>
        <v>1</v>
      </c>
      <c r="H78" s="827"/>
      <c r="I78" s="806">
        <f t="shared" si="6"/>
        <v>0</v>
      </c>
      <c r="J78" s="828"/>
      <c r="K78" s="814"/>
      <c r="L78" s="825"/>
      <c r="M78" s="815"/>
    </row>
    <row r="79" spans="1:14" ht="78.599999999999994" hidden="1" customHeight="1">
      <c r="A79" s="816"/>
      <c r="B79" s="817" t="s">
        <v>804</v>
      </c>
      <c r="C79" s="818" t="s">
        <v>862</v>
      </c>
      <c r="D79" s="819">
        <v>5252140000</v>
      </c>
      <c r="E79" s="819">
        <f>397615000+4854525000</f>
        <v>5252140000</v>
      </c>
      <c r="F79" s="819">
        <f t="shared" si="5"/>
        <v>0</v>
      </c>
      <c r="G79" s="820">
        <f t="shared" si="3"/>
        <v>1</v>
      </c>
      <c r="H79" s="827"/>
      <c r="I79" s="806">
        <f t="shared" si="6"/>
        <v>0</v>
      </c>
      <c r="J79" s="828"/>
      <c r="K79" s="814"/>
      <c r="L79" s="825"/>
      <c r="M79" s="830"/>
    </row>
    <row r="80" spans="1:14">
      <c r="A80" s="821" t="s">
        <v>46</v>
      </c>
      <c r="B80" s="822" t="s">
        <v>863</v>
      </c>
      <c r="C80" s="826"/>
      <c r="D80" s="811">
        <f>D81+D83</f>
        <v>1842154265</v>
      </c>
      <c r="E80" s="811">
        <f>E81+E83</f>
        <v>1842154265</v>
      </c>
      <c r="F80" s="811">
        <f>F81+F83</f>
        <v>0</v>
      </c>
      <c r="G80" s="820">
        <f t="shared" si="3"/>
        <v>1</v>
      </c>
      <c r="H80" s="823"/>
      <c r="I80" s="806">
        <f t="shared" si="6"/>
        <v>0</v>
      </c>
      <c r="J80" s="824"/>
      <c r="K80" s="814"/>
      <c r="L80" s="825"/>
      <c r="M80" s="815"/>
    </row>
    <row r="81" spans="1:13" ht="31.5" hidden="1">
      <c r="A81" s="816">
        <v>1</v>
      </c>
      <c r="B81" s="817" t="s">
        <v>755</v>
      </c>
      <c r="C81" s="818"/>
      <c r="D81" s="819">
        <f>D82</f>
        <v>163538265</v>
      </c>
      <c r="E81" s="819">
        <f>E82</f>
        <v>163538265</v>
      </c>
      <c r="F81" s="819">
        <f>F82</f>
        <v>0</v>
      </c>
      <c r="G81" s="820">
        <f>+E81/D81</f>
        <v>1</v>
      </c>
      <c r="H81" s="827"/>
      <c r="I81" s="806">
        <f t="shared" si="6"/>
        <v>0</v>
      </c>
      <c r="J81" s="828"/>
      <c r="K81" s="814"/>
      <c r="L81" s="825"/>
      <c r="M81" s="815"/>
    </row>
    <row r="82" spans="1:13" ht="68.45" hidden="1" customHeight="1">
      <c r="A82" s="816"/>
      <c r="B82" s="817" t="s">
        <v>808</v>
      </c>
      <c r="C82" s="818" t="s">
        <v>864</v>
      </c>
      <c r="D82" s="819">
        <v>163538265</v>
      </c>
      <c r="E82" s="819">
        <v>163538265</v>
      </c>
      <c r="F82" s="819">
        <f t="shared" si="5"/>
        <v>0</v>
      </c>
      <c r="G82" s="820">
        <f>+E82/D82</f>
        <v>1</v>
      </c>
      <c r="H82" s="827"/>
      <c r="I82" s="806">
        <f t="shared" si="6"/>
        <v>0</v>
      </c>
      <c r="J82" s="828"/>
      <c r="K82" s="814"/>
      <c r="L82" s="825"/>
      <c r="M82" s="815"/>
    </row>
    <row r="83" spans="1:13" ht="31.5" hidden="1">
      <c r="A83" s="816">
        <v>2</v>
      </c>
      <c r="B83" s="817" t="s">
        <v>817</v>
      </c>
      <c r="C83" s="818"/>
      <c r="D83" s="819">
        <f>D84</f>
        <v>1678616000</v>
      </c>
      <c r="E83" s="819">
        <f>E84</f>
        <v>1678616000</v>
      </c>
      <c r="F83" s="819">
        <f>F84</f>
        <v>0</v>
      </c>
      <c r="G83" s="820">
        <f>+E83/D83</f>
        <v>1</v>
      </c>
      <c r="H83" s="827"/>
      <c r="I83" s="806">
        <f t="shared" si="6"/>
        <v>0</v>
      </c>
      <c r="J83" s="828"/>
      <c r="K83" s="814"/>
      <c r="L83" s="825"/>
      <c r="M83" s="815"/>
    </row>
    <row r="84" spans="1:13" ht="44.25" hidden="1" customHeight="1">
      <c r="A84" s="835"/>
      <c r="B84" s="836" t="s">
        <v>808</v>
      </c>
      <c r="C84" s="837" t="s">
        <v>865</v>
      </c>
      <c r="D84" s="838">
        <f>1691766000-13150000</f>
        <v>1678616000</v>
      </c>
      <c r="E84" s="838">
        <f>1691766000-13150000</f>
        <v>1678616000</v>
      </c>
      <c r="F84" s="838">
        <f t="shared" si="5"/>
        <v>0</v>
      </c>
      <c r="G84" s="820">
        <f>+E84/D84</f>
        <v>1</v>
      </c>
      <c r="H84" s="839" t="s">
        <v>866</v>
      </c>
      <c r="I84" s="806">
        <f t="shared" si="6"/>
        <v>0</v>
      </c>
      <c r="J84" s="828"/>
      <c r="K84" s="814"/>
      <c r="L84" s="825"/>
      <c r="M84" s="815"/>
    </row>
    <row r="85" spans="1:13" hidden="1">
      <c r="A85" s="821" t="s">
        <v>867</v>
      </c>
      <c r="B85" s="822" t="s">
        <v>868</v>
      </c>
      <c r="C85" s="818"/>
      <c r="D85" s="811">
        <f>D87+D88</f>
        <v>1391296000</v>
      </c>
      <c r="E85" s="811">
        <f>E87+E88</f>
        <v>1391296000</v>
      </c>
      <c r="F85" s="811">
        <f>F87+F88</f>
        <v>0</v>
      </c>
      <c r="G85" s="812">
        <f>+E85/D85</f>
        <v>1</v>
      </c>
      <c r="H85" s="667"/>
      <c r="I85" s="806">
        <f t="shared" si="6"/>
        <v>0</v>
      </c>
      <c r="J85" s="813"/>
      <c r="K85" s="814"/>
      <c r="L85" s="814"/>
      <c r="M85" s="815"/>
    </row>
    <row r="86" spans="1:13" hidden="1">
      <c r="A86" s="816"/>
      <c r="B86" s="840" t="s">
        <v>869</v>
      </c>
      <c r="C86" s="818"/>
      <c r="D86" s="819"/>
      <c r="E86" s="819"/>
      <c r="F86" s="819"/>
      <c r="G86" s="820"/>
      <c r="H86" s="667"/>
      <c r="I86" s="806">
        <f t="shared" si="6"/>
        <v>0</v>
      </c>
      <c r="J86" s="813"/>
      <c r="K86" s="814"/>
      <c r="L86" s="814"/>
      <c r="M86" s="815"/>
    </row>
    <row r="87" spans="1:13" ht="57.6" hidden="1" customHeight="1">
      <c r="A87" s="816">
        <v>1</v>
      </c>
      <c r="B87" s="817" t="s">
        <v>870</v>
      </c>
      <c r="C87" s="818" t="s">
        <v>871</v>
      </c>
      <c r="D87" s="819">
        <v>411296000</v>
      </c>
      <c r="E87" s="819">
        <v>411296000</v>
      </c>
      <c r="F87" s="819">
        <f>D87-E87</f>
        <v>0</v>
      </c>
      <c r="G87" s="820">
        <f t="shared" ref="G87:G135" si="7">+E87/D87</f>
        <v>1</v>
      </c>
      <c r="H87" s="667"/>
      <c r="I87" s="806">
        <f t="shared" si="6"/>
        <v>0</v>
      </c>
      <c r="J87" s="813"/>
      <c r="K87" s="814"/>
      <c r="L87" s="814"/>
      <c r="M87" s="1093"/>
    </row>
    <row r="88" spans="1:13" ht="57.6" hidden="1" customHeight="1">
      <c r="A88" s="816">
        <v>2</v>
      </c>
      <c r="B88" s="817" t="s">
        <v>872</v>
      </c>
      <c r="C88" s="818" t="s">
        <v>873</v>
      </c>
      <c r="D88" s="819">
        <v>980000000</v>
      </c>
      <c r="E88" s="819">
        <v>980000000</v>
      </c>
      <c r="F88" s="819">
        <f>D88-E88</f>
        <v>0</v>
      </c>
      <c r="G88" s="820">
        <f t="shared" si="7"/>
        <v>1</v>
      </c>
      <c r="H88" s="667"/>
      <c r="I88" s="806">
        <f t="shared" si="6"/>
        <v>0</v>
      </c>
      <c r="J88" s="813"/>
      <c r="K88" s="814"/>
      <c r="L88" s="814"/>
      <c r="M88" s="1093"/>
    </row>
    <row r="89" spans="1:13" ht="27.75" customHeight="1">
      <c r="A89" s="1094" t="s">
        <v>639</v>
      </c>
      <c r="B89" s="1094"/>
      <c r="C89" s="1094"/>
      <c r="D89" s="137">
        <f>D90+D115+D119+D121</f>
        <v>436038359017</v>
      </c>
      <c r="E89" s="137">
        <f>E90+E115+E119+E121</f>
        <v>436038359017</v>
      </c>
      <c r="F89" s="137">
        <f>F90+F115+F119+F121</f>
        <v>0</v>
      </c>
      <c r="G89" s="812">
        <f t="shared" si="7"/>
        <v>1</v>
      </c>
      <c r="H89" s="667"/>
      <c r="I89" s="806">
        <f t="shared" si="6"/>
        <v>0</v>
      </c>
      <c r="J89" s="813"/>
      <c r="K89" s="814"/>
      <c r="L89" s="814"/>
      <c r="M89" s="815"/>
    </row>
    <row r="90" spans="1:13" ht="21.75" hidden="1" customHeight="1">
      <c r="A90" s="142" t="s">
        <v>6</v>
      </c>
      <c r="B90" s="121" t="s">
        <v>874</v>
      </c>
      <c r="C90" s="121"/>
      <c r="D90" s="137">
        <f>D91</f>
        <v>366152750599</v>
      </c>
      <c r="E90" s="137">
        <f>E91</f>
        <v>366152750599</v>
      </c>
      <c r="F90" s="137">
        <f>F91</f>
        <v>0</v>
      </c>
      <c r="G90" s="812">
        <f t="shared" si="7"/>
        <v>1</v>
      </c>
      <c r="H90" s="667"/>
      <c r="I90" s="806">
        <f t="shared" si="6"/>
        <v>0</v>
      </c>
      <c r="J90" s="813"/>
      <c r="K90" s="814"/>
      <c r="L90" s="814"/>
      <c r="M90" s="815"/>
    </row>
    <row r="91" spans="1:13" s="844" customFormat="1" ht="21.75" hidden="1" customHeight="1">
      <c r="A91" s="139">
        <v>1</v>
      </c>
      <c r="B91" s="550" t="s">
        <v>49</v>
      </c>
      <c r="C91" s="841"/>
      <c r="D91" s="136">
        <f>SUM(D107:D114)</f>
        <v>366152750599</v>
      </c>
      <c r="E91" s="136">
        <f>SUM(E107:E114)</f>
        <v>366152750599</v>
      </c>
      <c r="F91" s="136">
        <f>SUM(F107:F114)</f>
        <v>0</v>
      </c>
      <c r="G91" s="820">
        <f t="shared" si="7"/>
        <v>1</v>
      </c>
      <c r="H91" s="842"/>
      <c r="I91" s="806">
        <f t="shared" si="6"/>
        <v>0</v>
      </c>
      <c r="J91" s="843"/>
      <c r="K91" s="814"/>
      <c r="L91" s="814"/>
    </row>
    <row r="92" spans="1:13" hidden="1">
      <c r="A92" s="139"/>
      <c r="B92" s="550"/>
      <c r="C92" s="841"/>
      <c r="D92" s="136">
        <v>47092041177</v>
      </c>
      <c r="E92" s="136"/>
      <c r="F92" s="136"/>
      <c r="G92" s="820">
        <f t="shared" si="7"/>
        <v>0</v>
      </c>
      <c r="H92" s="667"/>
      <c r="I92" s="806">
        <f t="shared" si="6"/>
        <v>47092041177</v>
      </c>
      <c r="J92" s="813"/>
      <c r="K92" s="814"/>
      <c r="L92" s="814"/>
    </row>
    <row r="93" spans="1:13" hidden="1">
      <c r="A93" s="139"/>
      <c r="B93" s="550"/>
      <c r="C93" s="841"/>
      <c r="D93" s="136" t="e">
        <f>#REF!</f>
        <v>#REF!</v>
      </c>
      <c r="E93" s="136"/>
      <c r="F93" s="136"/>
      <c r="G93" s="820" t="e">
        <f t="shared" si="7"/>
        <v>#REF!</v>
      </c>
      <c r="H93" s="667"/>
      <c r="I93" s="806" t="e">
        <f t="shared" si="6"/>
        <v>#REF!</v>
      </c>
      <c r="J93" s="813"/>
      <c r="K93" s="814"/>
      <c r="L93" s="814"/>
    </row>
    <row r="94" spans="1:13" hidden="1">
      <c r="A94" s="139"/>
      <c r="B94" s="550"/>
      <c r="C94" s="841"/>
      <c r="D94" s="136">
        <v>-982968584</v>
      </c>
      <c r="E94" s="136"/>
      <c r="F94" s="136"/>
      <c r="G94" s="820">
        <f t="shared" si="7"/>
        <v>0</v>
      </c>
      <c r="H94" s="667"/>
      <c r="I94" s="806">
        <f t="shared" si="6"/>
        <v>-982968584</v>
      </c>
      <c r="J94" s="813"/>
      <c r="K94" s="814"/>
      <c r="L94" s="814"/>
    </row>
    <row r="95" spans="1:13" hidden="1">
      <c r="A95" s="139"/>
      <c r="B95" s="550"/>
      <c r="C95" s="841"/>
      <c r="D95" s="137" t="e">
        <f>D92+D93+D94</f>
        <v>#REF!</v>
      </c>
      <c r="E95" s="136"/>
      <c r="F95" s="136"/>
      <c r="G95" s="820" t="e">
        <f t="shared" si="7"/>
        <v>#REF!</v>
      </c>
      <c r="H95" s="667"/>
      <c r="I95" s="806" t="e">
        <f t="shared" si="6"/>
        <v>#REF!</v>
      </c>
      <c r="J95" s="813"/>
      <c r="K95" s="814"/>
      <c r="L95" s="814"/>
    </row>
    <row r="96" spans="1:13" hidden="1">
      <c r="A96" s="139"/>
      <c r="B96" s="550"/>
      <c r="C96" s="841"/>
      <c r="D96" s="136"/>
      <c r="E96" s="136"/>
      <c r="F96" s="136"/>
      <c r="G96" s="820" t="e">
        <f t="shared" si="7"/>
        <v>#DIV/0!</v>
      </c>
      <c r="H96" s="667"/>
      <c r="I96" s="806">
        <f t="shared" si="6"/>
        <v>0</v>
      </c>
      <c r="J96" s="813"/>
      <c r="K96" s="814"/>
      <c r="L96" s="814"/>
    </row>
    <row r="97" spans="1:12" hidden="1">
      <c r="A97" s="139"/>
      <c r="B97" s="550"/>
      <c r="C97" s="841"/>
      <c r="D97" s="136" t="e">
        <f>#REF!</f>
        <v>#REF!</v>
      </c>
      <c r="E97" s="136" t="e">
        <f>#REF!</f>
        <v>#REF!</v>
      </c>
      <c r="F97" s="136" t="e">
        <f>#REF!</f>
        <v>#REF!</v>
      </c>
      <c r="G97" s="820" t="e">
        <f t="shared" si="7"/>
        <v>#REF!</v>
      </c>
      <c r="H97" s="845" t="e">
        <f>E97*100/D97</f>
        <v>#REF!</v>
      </c>
      <c r="I97" s="806" t="e">
        <f t="shared" si="6"/>
        <v>#REF!</v>
      </c>
      <c r="J97" s="846"/>
      <c r="K97" s="814"/>
      <c r="L97" s="814"/>
    </row>
    <row r="98" spans="1:12" hidden="1">
      <c r="A98" s="139"/>
      <c r="B98" s="550"/>
      <c r="C98" s="841"/>
      <c r="D98" s="136" t="e">
        <f>#REF!+#REF!+#REF!</f>
        <v>#REF!</v>
      </c>
      <c r="E98" s="136" t="e">
        <f>#REF!+#REF!+#REF!</f>
        <v>#REF!</v>
      </c>
      <c r="F98" s="136" t="e">
        <f>#REF!+#REF!+#REF!</f>
        <v>#REF!</v>
      </c>
      <c r="G98" s="820" t="e">
        <f t="shared" si="7"/>
        <v>#REF!</v>
      </c>
      <c r="H98" s="845" t="e">
        <f t="shared" ref="H98:H104" si="8">E98*100/D98</f>
        <v>#REF!</v>
      </c>
      <c r="I98" s="806" t="e">
        <f t="shared" si="6"/>
        <v>#REF!</v>
      </c>
      <c r="J98" s="846"/>
      <c r="K98" s="814"/>
      <c r="L98" s="814"/>
    </row>
    <row r="99" spans="1:12" hidden="1">
      <c r="A99" s="139"/>
      <c r="B99" s="550"/>
      <c r="C99" s="841"/>
      <c r="D99" s="136" t="e">
        <f>#REF!+#REF!+#REF!</f>
        <v>#REF!</v>
      </c>
      <c r="E99" s="136" t="e">
        <f>#REF!+#REF!+#REF!</f>
        <v>#REF!</v>
      </c>
      <c r="F99" s="136" t="e">
        <f>#REF!+#REF!+#REF!</f>
        <v>#REF!</v>
      </c>
      <c r="G99" s="820" t="e">
        <f t="shared" si="7"/>
        <v>#REF!</v>
      </c>
      <c r="H99" s="845" t="e">
        <f t="shared" si="8"/>
        <v>#REF!</v>
      </c>
      <c r="I99" s="806" t="e">
        <f t="shared" si="6"/>
        <v>#REF!</v>
      </c>
      <c r="J99" s="846"/>
      <c r="K99" s="814"/>
      <c r="L99" s="814"/>
    </row>
    <row r="100" spans="1:12" hidden="1">
      <c r="A100" s="139"/>
      <c r="B100" s="550"/>
      <c r="C100" s="841"/>
      <c r="D100" s="136"/>
      <c r="E100" s="136"/>
      <c r="F100" s="136"/>
      <c r="G100" s="820" t="e">
        <f t="shared" si="7"/>
        <v>#DIV/0!</v>
      </c>
      <c r="H100" s="845" t="e">
        <f t="shared" si="8"/>
        <v>#DIV/0!</v>
      </c>
      <c r="I100" s="806">
        <f t="shared" si="6"/>
        <v>0</v>
      </c>
      <c r="J100" s="846"/>
      <c r="K100" s="814"/>
      <c r="L100" s="814"/>
    </row>
    <row r="101" spans="1:12" hidden="1">
      <c r="A101" s="139"/>
      <c r="B101" s="550"/>
      <c r="C101" s="841"/>
      <c r="D101" s="136" t="e">
        <f>#REF!</f>
        <v>#REF!</v>
      </c>
      <c r="E101" s="136" t="e">
        <f>#REF!</f>
        <v>#REF!</v>
      </c>
      <c r="F101" s="136" t="e">
        <f>#REF!</f>
        <v>#REF!</v>
      </c>
      <c r="G101" s="820" t="e">
        <f t="shared" si="7"/>
        <v>#REF!</v>
      </c>
      <c r="H101" s="845" t="e">
        <f t="shared" si="8"/>
        <v>#REF!</v>
      </c>
      <c r="I101" s="806" t="e">
        <f t="shared" si="6"/>
        <v>#REF!</v>
      </c>
      <c r="J101" s="846"/>
      <c r="K101" s="814"/>
      <c r="L101" s="814"/>
    </row>
    <row r="102" spans="1:12" hidden="1">
      <c r="A102" s="139"/>
      <c r="B102" s="550"/>
      <c r="C102" s="847"/>
      <c r="D102" s="136" t="e">
        <f>#REF!</f>
        <v>#REF!</v>
      </c>
      <c r="E102" s="136" t="e">
        <f>#REF!</f>
        <v>#REF!</v>
      </c>
      <c r="F102" s="136" t="e">
        <f>#REF!</f>
        <v>#REF!</v>
      </c>
      <c r="G102" s="820" t="e">
        <f t="shared" si="7"/>
        <v>#REF!</v>
      </c>
      <c r="H102" s="845" t="e">
        <f t="shared" si="8"/>
        <v>#REF!</v>
      </c>
      <c r="I102" s="806" t="e">
        <f t="shared" si="6"/>
        <v>#REF!</v>
      </c>
      <c r="J102" s="846"/>
      <c r="K102" s="814"/>
      <c r="L102" s="814"/>
    </row>
    <row r="103" spans="1:12" hidden="1">
      <c r="A103" s="139"/>
      <c r="B103" s="550"/>
      <c r="C103" s="847"/>
      <c r="D103" s="136"/>
      <c r="E103" s="136"/>
      <c r="F103" s="136"/>
      <c r="G103" s="820" t="e">
        <f t="shared" si="7"/>
        <v>#DIV/0!</v>
      </c>
      <c r="H103" s="845"/>
      <c r="I103" s="806">
        <f t="shared" si="6"/>
        <v>0</v>
      </c>
      <c r="J103" s="846"/>
      <c r="K103" s="814"/>
      <c r="L103" s="814"/>
    </row>
    <row r="104" spans="1:12" hidden="1">
      <c r="A104" s="139"/>
      <c r="B104" s="550"/>
      <c r="C104" s="847"/>
      <c r="D104" s="136" t="e">
        <f>D7-SUM(D97:D102)</f>
        <v>#REF!</v>
      </c>
      <c r="E104" s="136" t="e">
        <f>E7-SUM(E97:E102)</f>
        <v>#REF!</v>
      </c>
      <c r="F104" s="136" t="e">
        <f>F7-SUM(F97:F102)</f>
        <v>#REF!</v>
      </c>
      <c r="G104" s="820" t="e">
        <f t="shared" si="7"/>
        <v>#REF!</v>
      </c>
      <c r="H104" s="845" t="e">
        <f t="shared" si="8"/>
        <v>#REF!</v>
      </c>
      <c r="I104" s="806" t="e">
        <f t="shared" si="6"/>
        <v>#REF!</v>
      </c>
      <c r="J104" s="846"/>
      <c r="K104" s="814"/>
      <c r="L104" s="814"/>
    </row>
    <row r="105" spans="1:12" hidden="1">
      <c r="A105" s="139"/>
      <c r="B105" s="550"/>
      <c r="C105" s="847"/>
      <c r="D105" s="136"/>
      <c r="E105" s="136"/>
      <c r="F105" s="136"/>
      <c r="G105" s="820" t="e">
        <f t="shared" si="7"/>
        <v>#DIV/0!</v>
      </c>
      <c r="H105" s="667"/>
      <c r="I105" s="806">
        <f t="shared" si="6"/>
        <v>0</v>
      </c>
      <c r="J105" s="813"/>
      <c r="K105" s="814"/>
      <c r="L105" s="814"/>
    </row>
    <row r="106" spans="1:12" hidden="1">
      <c r="A106" s="139"/>
      <c r="B106" s="550"/>
      <c r="C106" s="847"/>
      <c r="D106" s="136"/>
      <c r="E106" s="136"/>
      <c r="F106" s="136"/>
      <c r="G106" s="820" t="e">
        <f t="shared" si="7"/>
        <v>#DIV/0!</v>
      </c>
      <c r="H106" s="667"/>
      <c r="I106" s="806">
        <f t="shared" si="6"/>
        <v>0</v>
      </c>
      <c r="J106" s="813"/>
      <c r="K106" s="814"/>
      <c r="L106" s="814"/>
    </row>
    <row r="107" spans="1:12" ht="52.15" hidden="1" customHeight="1">
      <c r="A107" s="139"/>
      <c r="B107" s="550"/>
      <c r="C107" s="848" t="s">
        <v>875</v>
      </c>
      <c r="D107" s="136">
        <v>17299990000</v>
      </c>
      <c r="E107" s="136">
        <f t="shared" ref="E107:E113" si="9">D107</f>
        <v>17299990000</v>
      </c>
      <c r="F107" s="136">
        <f t="shared" ref="F107:F120" si="10">D107-E107</f>
        <v>0</v>
      </c>
      <c r="G107" s="820">
        <f t="shared" si="7"/>
        <v>1</v>
      </c>
      <c r="H107" s="667"/>
      <c r="I107" s="806">
        <f t="shared" si="6"/>
        <v>0</v>
      </c>
      <c r="J107" s="813"/>
      <c r="K107" s="814"/>
      <c r="L107" s="814"/>
    </row>
    <row r="108" spans="1:12" ht="93.75" hidden="1" customHeight="1">
      <c r="A108" s="139"/>
      <c r="B108" s="550"/>
      <c r="C108" s="848" t="s">
        <v>876</v>
      </c>
      <c r="D108" s="136">
        <v>157100000</v>
      </c>
      <c r="E108" s="136">
        <f t="shared" si="9"/>
        <v>157100000</v>
      </c>
      <c r="F108" s="136">
        <f t="shared" si="10"/>
        <v>0</v>
      </c>
      <c r="G108" s="820">
        <f t="shared" si="7"/>
        <v>1</v>
      </c>
      <c r="H108" s="667" t="s">
        <v>877</v>
      </c>
      <c r="I108" s="806">
        <f t="shared" si="6"/>
        <v>0</v>
      </c>
      <c r="J108" s="813"/>
      <c r="K108" s="814"/>
      <c r="L108" s="814"/>
    </row>
    <row r="109" spans="1:12" ht="91.9" hidden="1" customHeight="1">
      <c r="A109" s="139"/>
      <c r="B109" s="550"/>
      <c r="C109" s="848" t="s">
        <v>878</v>
      </c>
      <c r="D109" s="136">
        <v>82485943000</v>
      </c>
      <c r="E109" s="136">
        <f t="shared" si="9"/>
        <v>82485943000</v>
      </c>
      <c r="F109" s="136">
        <f t="shared" si="10"/>
        <v>0</v>
      </c>
      <c r="G109" s="820">
        <f t="shared" si="7"/>
        <v>1</v>
      </c>
      <c r="H109" s="667"/>
      <c r="I109" s="806">
        <f t="shared" si="6"/>
        <v>0</v>
      </c>
      <c r="J109" s="813"/>
      <c r="K109" s="814"/>
      <c r="L109" s="814"/>
    </row>
    <row r="110" spans="1:12" ht="93.6" hidden="1" customHeight="1">
      <c r="A110" s="139"/>
      <c r="B110" s="550"/>
      <c r="C110" s="848" t="s">
        <v>879</v>
      </c>
      <c r="D110" s="136">
        <v>20872842500</v>
      </c>
      <c r="E110" s="136">
        <f t="shared" si="9"/>
        <v>20872842500</v>
      </c>
      <c r="F110" s="136">
        <f t="shared" si="10"/>
        <v>0</v>
      </c>
      <c r="G110" s="820">
        <f t="shared" si="7"/>
        <v>1</v>
      </c>
      <c r="H110" s="667"/>
      <c r="I110" s="806">
        <f t="shared" si="6"/>
        <v>0</v>
      </c>
      <c r="J110" s="813"/>
      <c r="K110" s="814"/>
      <c r="L110" s="814"/>
    </row>
    <row r="111" spans="1:12" ht="84" hidden="1" customHeight="1">
      <c r="A111" s="139"/>
      <c r="B111" s="550"/>
      <c r="C111" s="848" t="s">
        <v>880</v>
      </c>
      <c r="D111" s="136">
        <v>142755359099</v>
      </c>
      <c r="E111" s="136">
        <f t="shared" si="9"/>
        <v>142755359099</v>
      </c>
      <c r="F111" s="136">
        <f t="shared" si="10"/>
        <v>0</v>
      </c>
      <c r="G111" s="820">
        <f t="shared" si="7"/>
        <v>1</v>
      </c>
      <c r="H111" s="667"/>
      <c r="I111" s="806">
        <f t="shared" si="6"/>
        <v>0</v>
      </c>
      <c r="J111" s="813"/>
      <c r="K111" s="814"/>
      <c r="L111" s="814"/>
    </row>
    <row r="112" spans="1:12" ht="70.900000000000006" hidden="1" customHeight="1">
      <c r="A112" s="139"/>
      <c r="B112" s="550"/>
      <c r="C112" s="848" t="s">
        <v>881</v>
      </c>
      <c r="D112" s="136">
        <v>43636794000</v>
      </c>
      <c r="E112" s="136">
        <f t="shared" si="9"/>
        <v>43636794000</v>
      </c>
      <c r="F112" s="136">
        <f t="shared" si="10"/>
        <v>0</v>
      </c>
      <c r="G112" s="820">
        <f t="shared" si="7"/>
        <v>1</v>
      </c>
      <c r="H112" s="667"/>
      <c r="I112" s="806">
        <f t="shared" si="6"/>
        <v>0</v>
      </c>
      <c r="J112" s="813"/>
      <c r="K112" s="814"/>
      <c r="L112" s="814"/>
    </row>
    <row r="113" spans="1:13" ht="57.6" hidden="1" customHeight="1">
      <c r="A113" s="139"/>
      <c r="B113" s="550"/>
      <c r="C113" s="848" t="s">
        <v>882</v>
      </c>
      <c r="D113" s="136">
        <v>32905120000</v>
      </c>
      <c r="E113" s="136">
        <f t="shared" si="9"/>
        <v>32905120000</v>
      </c>
      <c r="F113" s="136">
        <f t="shared" si="10"/>
        <v>0</v>
      </c>
      <c r="G113" s="820">
        <f t="shared" si="7"/>
        <v>1</v>
      </c>
      <c r="H113" s="667"/>
      <c r="I113" s="806">
        <f t="shared" si="6"/>
        <v>0</v>
      </c>
      <c r="J113" s="813"/>
      <c r="K113" s="814"/>
      <c r="L113" s="814"/>
    </row>
    <row r="114" spans="1:13" ht="31.5" hidden="1">
      <c r="A114" s="139"/>
      <c r="B114" s="550"/>
      <c r="C114" s="848" t="s">
        <v>883</v>
      </c>
      <c r="D114" s="136">
        <v>26039602000</v>
      </c>
      <c r="E114" s="136">
        <f>21877744000+4161858000</f>
        <v>26039602000</v>
      </c>
      <c r="F114" s="136">
        <f t="shared" si="10"/>
        <v>0</v>
      </c>
      <c r="G114" s="820">
        <f t="shared" si="7"/>
        <v>1</v>
      </c>
      <c r="H114" s="667"/>
      <c r="I114" s="806">
        <f t="shared" si="6"/>
        <v>0</v>
      </c>
      <c r="J114" s="512"/>
      <c r="K114" s="814"/>
      <c r="L114" s="814"/>
    </row>
    <row r="115" spans="1:13" ht="21.75" hidden="1" customHeight="1">
      <c r="A115" s="142" t="s">
        <v>46</v>
      </c>
      <c r="B115" s="121" t="s">
        <v>884</v>
      </c>
      <c r="C115" s="848"/>
      <c r="D115" s="137">
        <f>D116</f>
        <v>38368116643</v>
      </c>
      <c r="E115" s="137">
        <f>E116</f>
        <v>38368116643</v>
      </c>
      <c r="F115" s="137">
        <f>F116</f>
        <v>0</v>
      </c>
      <c r="G115" s="812">
        <f t="shared" si="7"/>
        <v>1</v>
      </c>
      <c r="H115" s="667"/>
      <c r="I115" s="806">
        <f t="shared" si="6"/>
        <v>0</v>
      </c>
      <c r="J115" s="813"/>
      <c r="K115" s="814"/>
      <c r="L115" s="814"/>
    </row>
    <row r="116" spans="1:13" s="844" customFormat="1" ht="55.5" hidden="1" customHeight="1">
      <c r="A116" s="139">
        <v>1</v>
      </c>
      <c r="B116" s="849" t="s">
        <v>49</v>
      </c>
      <c r="C116" s="848" t="s">
        <v>885</v>
      </c>
      <c r="D116" s="136">
        <f>+D118</f>
        <v>38368116643</v>
      </c>
      <c r="E116" s="136">
        <f>+E118</f>
        <v>38368116643</v>
      </c>
      <c r="F116" s="136">
        <f>F117+F118</f>
        <v>0</v>
      </c>
      <c r="G116" s="820">
        <f t="shared" si="7"/>
        <v>1</v>
      </c>
      <c r="H116" s="1095" t="s">
        <v>886</v>
      </c>
      <c r="I116" s="806">
        <f t="shared" si="6"/>
        <v>0</v>
      </c>
      <c r="J116" s="850"/>
      <c r="K116" s="814"/>
      <c r="L116" s="814"/>
    </row>
    <row r="117" spans="1:13" ht="84.75" hidden="1" customHeight="1">
      <c r="A117" s="139"/>
      <c r="B117" s="550"/>
      <c r="C117" s="652" t="s">
        <v>887</v>
      </c>
      <c r="D117" s="136"/>
      <c r="E117" s="848" t="s">
        <v>888</v>
      </c>
      <c r="F117" s="136"/>
      <c r="G117" s="820"/>
      <c r="H117" s="1095"/>
      <c r="I117" s="806" t="e">
        <f t="shared" si="6"/>
        <v>#VALUE!</v>
      </c>
      <c r="J117" s="851"/>
      <c r="K117" s="814"/>
      <c r="L117" s="852"/>
      <c r="M117" s="813"/>
    </row>
    <row r="118" spans="1:13" ht="72.75" hidden="1" customHeight="1">
      <c r="A118" s="139"/>
      <c r="B118" s="550"/>
      <c r="C118" s="848" t="s">
        <v>889</v>
      </c>
      <c r="D118" s="136">
        <v>38368116643</v>
      </c>
      <c r="E118" s="136">
        <f>D118</f>
        <v>38368116643</v>
      </c>
      <c r="F118" s="136">
        <f t="shared" si="10"/>
        <v>0</v>
      </c>
      <c r="G118" s="820">
        <f t="shared" si="7"/>
        <v>1</v>
      </c>
      <c r="H118" s="1095"/>
      <c r="I118" s="806">
        <f t="shared" si="6"/>
        <v>0</v>
      </c>
      <c r="J118" s="851"/>
      <c r="K118" s="814"/>
      <c r="L118" s="814"/>
    </row>
    <row r="119" spans="1:13" hidden="1">
      <c r="A119" s="142" t="s">
        <v>71</v>
      </c>
      <c r="B119" s="556" t="s">
        <v>890</v>
      </c>
      <c r="C119" s="848"/>
      <c r="D119" s="137">
        <f>D120</f>
        <v>1022511000</v>
      </c>
      <c r="E119" s="137">
        <f>E120</f>
        <v>1022511000</v>
      </c>
      <c r="F119" s="137">
        <f>F120</f>
        <v>0</v>
      </c>
      <c r="G119" s="812">
        <f t="shared" si="7"/>
        <v>1</v>
      </c>
      <c r="H119" s="667"/>
      <c r="I119" s="806">
        <f t="shared" si="6"/>
        <v>0</v>
      </c>
      <c r="J119" s="813"/>
      <c r="K119" s="814"/>
      <c r="L119" s="814"/>
    </row>
    <row r="120" spans="1:13" ht="84.75" hidden="1" customHeight="1">
      <c r="A120" s="139">
        <v>1</v>
      </c>
      <c r="B120" s="550" t="s">
        <v>276</v>
      </c>
      <c r="C120" s="848" t="s">
        <v>891</v>
      </c>
      <c r="D120" s="136">
        <v>1022511000</v>
      </c>
      <c r="E120" s="136">
        <f>D120</f>
        <v>1022511000</v>
      </c>
      <c r="F120" s="136">
        <f t="shared" si="10"/>
        <v>0</v>
      </c>
      <c r="G120" s="820">
        <f t="shared" si="7"/>
        <v>1</v>
      </c>
      <c r="H120" s="667" t="s">
        <v>892</v>
      </c>
      <c r="I120" s="806">
        <f t="shared" si="6"/>
        <v>0</v>
      </c>
      <c r="J120" s="813"/>
      <c r="K120" s="814"/>
      <c r="L120" s="814"/>
    </row>
    <row r="121" spans="1:13" ht="25.9" hidden="1" customHeight="1">
      <c r="A121" s="142" t="s">
        <v>270</v>
      </c>
      <c r="B121" s="556" t="s">
        <v>714</v>
      </c>
      <c r="C121" s="848"/>
      <c r="D121" s="137">
        <f>D122+D127+D130+D132+D134</f>
        <v>30494980775</v>
      </c>
      <c r="E121" s="137">
        <f>E122+E127+E130+E132+E134</f>
        <v>30494980775</v>
      </c>
      <c r="F121" s="137">
        <f>F122+F127+F130+F132+F134</f>
        <v>0</v>
      </c>
      <c r="G121" s="812">
        <f t="shared" si="7"/>
        <v>1</v>
      </c>
      <c r="H121" s="667"/>
      <c r="I121" s="806">
        <f t="shared" si="6"/>
        <v>0</v>
      </c>
      <c r="J121" s="813"/>
      <c r="K121" s="814"/>
      <c r="L121" s="814"/>
    </row>
    <row r="122" spans="1:13" s="844" customFormat="1" hidden="1">
      <c r="A122" s="139">
        <v>1</v>
      </c>
      <c r="B122" s="550" t="s">
        <v>893</v>
      </c>
      <c r="C122" s="848"/>
      <c r="D122" s="136">
        <f>SUM(D123:D126)</f>
        <v>2985845000</v>
      </c>
      <c r="E122" s="136">
        <f>SUM(E123:E126)</f>
        <v>2985845000</v>
      </c>
      <c r="F122" s="136">
        <f>SUM(F123:F126)</f>
        <v>0</v>
      </c>
      <c r="G122" s="820">
        <f t="shared" si="7"/>
        <v>1</v>
      </c>
      <c r="H122" s="667"/>
      <c r="I122" s="806">
        <f t="shared" si="6"/>
        <v>0</v>
      </c>
      <c r="J122" s="813"/>
      <c r="K122" s="814"/>
      <c r="L122" s="814"/>
    </row>
    <row r="123" spans="1:13" ht="76.150000000000006" hidden="1" customHeight="1">
      <c r="A123" s="139"/>
      <c r="B123" s="550"/>
      <c r="C123" s="848" t="s">
        <v>894</v>
      </c>
      <c r="D123" s="136">
        <v>2653798000</v>
      </c>
      <c r="E123" s="136">
        <f>D123</f>
        <v>2653798000</v>
      </c>
      <c r="F123" s="136">
        <f t="shared" ref="F123:F135" si="11">D123-E123</f>
        <v>0</v>
      </c>
      <c r="G123" s="820">
        <f t="shared" si="7"/>
        <v>1</v>
      </c>
      <c r="H123" s="667"/>
      <c r="I123" s="806">
        <f t="shared" si="6"/>
        <v>0</v>
      </c>
      <c r="J123" s="813"/>
      <c r="K123" s="814"/>
      <c r="L123" s="814"/>
    </row>
    <row r="124" spans="1:13" ht="132.6" hidden="1" customHeight="1">
      <c r="A124" s="139"/>
      <c r="B124" s="550"/>
      <c r="C124" s="848" t="s">
        <v>895</v>
      </c>
      <c r="D124" s="136">
        <v>165236000</v>
      </c>
      <c r="E124" s="136">
        <f>70412000+94824000</f>
        <v>165236000</v>
      </c>
      <c r="F124" s="136">
        <f t="shared" si="11"/>
        <v>0</v>
      </c>
      <c r="G124" s="820">
        <f t="shared" si="7"/>
        <v>1</v>
      </c>
      <c r="H124" s="667"/>
      <c r="I124" s="806">
        <f t="shared" si="6"/>
        <v>0</v>
      </c>
      <c r="J124" s="813"/>
      <c r="K124" s="814"/>
      <c r="L124" s="814"/>
    </row>
    <row r="125" spans="1:13" ht="70.150000000000006" hidden="1" customHeight="1">
      <c r="A125" s="139"/>
      <c r="B125" s="550"/>
      <c r="C125" s="848" t="s">
        <v>896</v>
      </c>
      <c r="D125" s="136">
        <v>80239000</v>
      </c>
      <c r="E125" s="136">
        <v>80239000</v>
      </c>
      <c r="F125" s="136">
        <f t="shared" si="11"/>
        <v>0</v>
      </c>
      <c r="G125" s="820">
        <f t="shared" si="7"/>
        <v>1</v>
      </c>
      <c r="H125" s="667"/>
      <c r="I125" s="806">
        <f t="shared" si="6"/>
        <v>0</v>
      </c>
      <c r="J125" s="813"/>
      <c r="K125" s="814"/>
      <c r="L125" s="814"/>
    </row>
    <row r="126" spans="1:13" ht="43.15" hidden="1" customHeight="1">
      <c r="A126" s="139"/>
      <c r="B126" s="550"/>
      <c r="C126" s="848" t="s">
        <v>843</v>
      </c>
      <c r="D126" s="136">
        <v>86572000</v>
      </c>
      <c r="E126" s="136">
        <v>86572000</v>
      </c>
      <c r="F126" s="136">
        <f t="shared" si="11"/>
        <v>0</v>
      </c>
      <c r="G126" s="820">
        <f t="shared" si="7"/>
        <v>1</v>
      </c>
      <c r="H126" s="667"/>
      <c r="I126" s="806">
        <f t="shared" si="6"/>
        <v>0</v>
      </c>
      <c r="J126" s="813"/>
      <c r="K126" s="814"/>
      <c r="L126" s="814"/>
    </row>
    <row r="127" spans="1:13" hidden="1">
      <c r="A127" s="139">
        <v>2</v>
      </c>
      <c r="B127" s="550" t="s">
        <v>897</v>
      </c>
      <c r="C127" s="848"/>
      <c r="D127" s="136">
        <f>D128+D129</f>
        <v>236929884</v>
      </c>
      <c r="E127" s="136">
        <f>E128+E129</f>
        <v>236929884</v>
      </c>
      <c r="F127" s="136">
        <f>F128+F129</f>
        <v>0</v>
      </c>
      <c r="G127" s="820">
        <f t="shared" si="7"/>
        <v>1</v>
      </c>
      <c r="H127" s="667"/>
      <c r="I127" s="806">
        <f t="shared" si="6"/>
        <v>0</v>
      </c>
      <c r="J127" s="813"/>
      <c r="K127" s="814"/>
      <c r="L127" s="814"/>
    </row>
    <row r="128" spans="1:13" ht="31.5" hidden="1">
      <c r="A128" s="139"/>
      <c r="B128" s="550"/>
      <c r="C128" s="848" t="s">
        <v>898</v>
      </c>
      <c r="D128" s="136">
        <v>78791510</v>
      </c>
      <c r="E128" s="136">
        <v>78791510</v>
      </c>
      <c r="F128" s="136">
        <f t="shared" si="11"/>
        <v>0</v>
      </c>
      <c r="G128" s="820">
        <f t="shared" si="7"/>
        <v>1</v>
      </c>
      <c r="H128" s="667"/>
      <c r="I128" s="806">
        <f t="shared" si="6"/>
        <v>0</v>
      </c>
      <c r="J128" s="813"/>
      <c r="K128" s="814"/>
      <c r="L128" s="814"/>
    </row>
    <row r="129" spans="1:14" ht="65.45" hidden="1" customHeight="1">
      <c r="A129" s="139"/>
      <c r="B129" s="550"/>
      <c r="C129" s="848" t="s">
        <v>899</v>
      </c>
      <c r="D129" s="136">
        <v>158138374</v>
      </c>
      <c r="E129" s="136">
        <f>D129</f>
        <v>158138374</v>
      </c>
      <c r="F129" s="136">
        <f t="shared" si="11"/>
        <v>0</v>
      </c>
      <c r="G129" s="820">
        <f t="shared" si="7"/>
        <v>1</v>
      </c>
      <c r="H129" s="667"/>
      <c r="I129" s="806">
        <f t="shared" si="6"/>
        <v>0</v>
      </c>
      <c r="J129" s="813"/>
      <c r="K129" s="814"/>
      <c r="L129" s="814"/>
      <c r="N129" s="833"/>
    </row>
    <row r="130" spans="1:14" hidden="1">
      <c r="A130" s="139">
        <v>3</v>
      </c>
      <c r="B130" s="550" t="s">
        <v>900</v>
      </c>
      <c r="C130" s="848"/>
      <c r="D130" s="136">
        <f>D131</f>
        <v>10568960127</v>
      </c>
      <c r="E130" s="136">
        <f>E131</f>
        <v>10568960127</v>
      </c>
      <c r="F130" s="136">
        <f>F131</f>
        <v>0</v>
      </c>
      <c r="G130" s="820">
        <f t="shared" si="7"/>
        <v>1</v>
      </c>
      <c r="H130" s="667"/>
      <c r="I130" s="806">
        <f t="shared" si="6"/>
        <v>0</v>
      </c>
      <c r="J130" s="813"/>
      <c r="K130" s="814"/>
      <c r="L130" s="814"/>
    </row>
    <row r="131" spans="1:14" ht="40.9" hidden="1" customHeight="1">
      <c r="A131" s="139"/>
      <c r="B131" s="550"/>
      <c r="C131" s="848" t="s">
        <v>901</v>
      </c>
      <c r="D131" s="136">
        <v>10568960127</v>
      </c>
      <c r="E131" s="136">
        <v>10568960127</v>
      </c>
      <c r="F131" s="136">
        <f t="shared" si="11"/>
        <v>0</v>
      </c>
      <c r="G131" s="820">
        <f t="shared" si="7"/>
        <v>1</v>
      </c>
      <c r="H131" s="667"/>
      <c r="I131" s="806">
        <f t="shared" si="6"/>
        <v>0</v>
      </c>
      <c r="J131" s="813"/>
      <c r="K131" s="814"/>
      <c r="L131" s="814"/>
      <c r="M131" s="39"/>
    </row>
    <row r="132" spans="1:14" hidden="1">
      <c r="A132" s="139">
        <v>4</v>
      </c>
      <c r="B132" s="550" t="s">
        <v>902</v>
      </c>
      <c r="C132" s="848"/>
      <c r="D132" s="136">
        <f>D133</f>
        <v>10159532</v>
      </c>
      <c r="E132" s="136">
        <f>E133</f>
        <v>10159532</v>
      </c>
      <c r="F132" s="136">
        <f>F133</f>
        <v>0</v>
      </c>
      <c r="G132" s="820">
        <f t="shared" si="7"/>
        <v>1</v>
      </c>
      <c r="H132" s="667"/>
      <c r="I132" s="806">
        <f t="shared" si="6"/>
        <v>0</v>
      </c>
      <c r="J132" s="813"/>
      <c r="K132" s="814"/>
      <c r="L132" s="814"/>
    </row>
    <row r="133" spans="1:14" ht="55.9" hidden="1" customHeight="1">
      <c r="A133" s="142"/>
      <c r="B133" s="550" t="s">
        <v>903</v>
      </c>
      <c r="C133" s="848" t="s">
        <v>904</v>
      </c>
      <c r="D133" s="136">
        <v>10159532</v>
      </c>
      <c r="E133" s="136">
        <v>10159532</v>
      </c>
      <c r="F133" s="136">
        <f>D133-E133</f>
        <v>0</v>
      </c>
      <c r="G133" s="820">
        <f t="shared" si="7"/>
        <v>1</v>
      </c>
      <c r="H133" s="667"/>
      <c r="I133" s="806">
        <f t="shared" si="6"/>
        <v>0</v>
      </c>
      <c r="J133" s="512"/>
      <c r="K133" s="814"/>
      <c r="L133" s="814"/>
    </row>
    <row r="134" spans="1:14" hidden="1">
      <c r="A134" s="139">
        <v>5</v>
      </c>
      <c r="B134" s="550" t="s">
        <v>56</v>
      </c>
      <c r="C134" s="848"/>
      <c r="D134" s="136">
        <f>D135</f>
        <v>16693086232</v>
      </c>
      <c r="E134" s="136">
        <f>E135</f>
        <v>16693086232</v>
      </c>
      <c r="F134" s="136">
        <f>F135</f>
        <v>0</v>
      </c>
      <c r="G134" s="820">
        <f t="shared" si="7"/>
        <v>1</v>
      </c>
      <c r="H134" s="667"/>
      <c r="I134" s="806">
        <f t="shared" si="6"/>
        <v>0</v>
      </c>
      <c r="J134" s="813"/>
      <c r="K134" s="814"/>
      <c r="L134" s="814"/>
    </row>
    <row r="135" spans="1:14" ht="37.9" hidden="1" customHeight="1">
      <c r="A135" s="139"/>
      <c r="B135" s="550" t="s">
        <v>905</v>
      </c>
      <c r="C135" s="652" t="s">
        <v>906</v>
      </c>
      <c r="D135" s="136">
        <v>16693086232</v>
      </c>
      <c r="E135" s="136">
        <f>D135</f>
        <v>16693086232</v>
      </c>
      <c r="F135" s="136">
        <f t="shared" si="11"/>
        <v>0</v>
      </c>
      <c r="G135" s="820">
        <f t="shared" si="7"/>
        <v>1</v>
      </c>
      <c r="H135" s="667"/>
      <c r="I135" s="806">
        <f t="shared" si="6"/>
        <v>0</v>
      </c>
      <c r="J135" s="813"/>
      <c r="K135" s="814"/>
      <c r="L135" s="853"/>
    </row>
    <row r="136" spans="1:14">
      <c r="A136" s="651"/>
      <c r="B136" s="538"/>
      <c r="C136" s="854"/>
      <c r="D136" s="668"/>
      <c r="E136" s="668"/>
      <c r="F136" s="668"/>
      <c r="G136" s="855"/>
      <c r="H136" s="651"/>
      <c r="I136" s="856"/>
    </row>
  </sheetData>
  <mergeCells count="9">
    <mergeCell ref="M87:M88"/>
    <mergeCell ref="A89:C89"/>
    <mergeCell ref="H116:H118"/>
    <mergeCell ref="F1:H1"/>
    <mergeCell ref="A3:H3"/>
    <mergeCell ref="A4:H4"/>
    <mergeCell ref="F5:H5"/>
    <mergeCell ref="A7:C7"/>
    <mergeCell ref="J44:J45"/>
  </mergeCells>
  <printOptions horizontalCentered="1"/>
  <pageMargins left="0.196850393700787" right="0" top="0.38" bottom="0.46" header="0.41" footer="0.15"/>
  <pageSetup paperSize="9" scale="85" orientation="landscape" r:id="rId1"/>
  <headerFooter alignWithMargins="0">
    <oddFooter>&amp;R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zoomScale="70" zoomScaleNormal="70" workbookViewId="0">
      <pane xSplit="3" ySplit="7" topLeftCell="D8" activePane="bottomRight" state="frozen"/>
      <selection activeCell="I65" sqref="I65"/>
      <selection pane="topRight" activeCell="I65" sqref="I65"/>
      <selection pane="bottomLeft" activeCell="I65" sqref="I65"/>
      <selection pane="bottomRight" activeCell="A6" sqref="A6"/>
    </sheetView>
  </sheetViews>
  <sheetFormatPr defaultRowHeight="15.75"/>
  <cols>
    <col min="1" max="1" width="5.5703125" style="934" customWidth="1"/>
    <col min="2" max="2" width="33.140625" style="859" customWidth="1"/>
    <col min="3" max="3" width="37.5703125" style="860" customWidth="1"/>
    <col min="4" max="4" width="18.28515625" style="861" bestFit="1" customWidth="1"/>
    <col min="5" max="5" width="17.5703125" style="861" bestFit="1" customWidth="1"/>
    <col min="6" max="6" width="16.85546875" style="861" bestFit="1" customWidth="1"/>
    <col min="7" max="7" width="12.7109375" style="935" bestFit="1" customWidth="1"/>
    <col min="8" max="8" width="22.7109375" style="859" customWidth="1"/>
    <col min="9" max="9" width="19.85546875" style="859" customWidth="1"/>
    <col min="10" max="10" width="9.140625" style="859"/>
    <col min="11" max="11" width="10.28515625" style="859" bestFit="1" customWidth="1"/>
    <col min="12" max="12" width="9.140625" style="859"/>
    <col min="13" max="13" width="76.42578125" style="859" customWidth="1"/>
    <col min="14" max="14" width="11.7109375" style="859" bestFit="1" customWidth="1"/>
    <col min="15" max="256" width="9.140625" style="859"/>
    <col min="257" max="257" width="5.5703125" style="859" customWidth="1"/>
    <col min="258" max="258" width="33.140625" style="859" customWidth="1"/>
    <col min="259" max="259" width="37.5703125" style="859" customWidth="1"/>
    <col min="260" max="260" width="18.28515625" style="859" bestFit="1" customWidth="1"/>
    <col min="261" max="261" width="17.5703125" style="859" bestFit="1" customWidth="1"/>
    <col min="262" max="262" width="16.85546875" style="859" bestFit="1" customWidth="1"/>
    <col min="263" max="263" width="12.7109375" style="859" bestFit="1" customWidth="1"/>
    <col min="264" max="264" width="22.7109375" style="859" customWidth="1"/>
    <col min="265" max="265" width="19.85546875" style="859" customWidth="1"/>
    <col min="266" max="266" width="9.140625" style="859"/>
    <col min="267" max="267" width="10.28515625" style="859" bestFit="1" customWidth="1"/>
    <col min="268" max="268" width="9.140625" style="859"/>
    <col min="269" max="269" width="76.42578125" style="859" customWidth="1"/>
    <col min="270" max="270" width="11.7109375" style="859" bestFit="1" customWidth="1"/>
    <col min="271" max="512" width="9.140625" style="859"/>
    <col min="513" max="513" width="5.5703125" style="859" customWidth="1"/>
    <col min="514" max="514" width="33.140625" style="859" customWidth="1"/>
    <col min="515" max="515" width="37.5703125" style="859" customWidth="1"/>
    <col min="516" max="516" width="18.28515625" style="859" bestFit="1" customWidth="1"/>
    <col min="517" max="517" width="17.5703125" style="859" bestFit="1" customWidth="1"/>
    <col min="518" max="518" width="16.85546875" style="859" bestFit="1" customWidth="1"/>
    <col min="519" max="519" width="12.7109375" style="859" bestFit="1" customWidth="1"/>
    <col min="520" max="520" width="22.7109375" style="859" customWidth="1"/>
    <col min="521" max="521" width="19.85546875" style="859" customWidth="1"/>
    <col min="522" max="522" width="9.140625" style="859"/>
    <col min="523" max="523" width="10.28515625" style="859" bestFit="1" customWidth="1"/>
    <col min="524" max="524" width="9.140625" style="859"/>
    <col min="525" max="525" width="76.42578125" style="859" customWidth="1"/>
    <col min="526" max="526" width="11.7109375" style="859" bestFit="1" customWidth="1"/>
    <col min="527" max="768" width="9.140625" style="859"/>
    <col min="769" max="769" width="5.5703125" style="859" customWidth="1"/>
    <col min="770" max="770" width="33.140625" style="859" customWidth="1"/>
    <col min="771" max="771" width="37.5703125" style="859" customWidth="1"/>
    <col min="772" max="772" width="18.28515625" style="859" bestFit="1" customWidth="1"/>
    <col min="773" max="773" width="17.5703125" style="859" bestFit="1" customWidth="1"/>
    <col min="774" max="774" width="16.85546875" style="859" bestFit="1" customWidth="1"/>
    <col min="775" max="775" width="12.7109375" style="859" bestFit="1" customWidth="1"/>
    <col min="776" max="776" width="22.7109375" style="859" customWidth="1"/>
    <col min="777" max="777" width="19.85546875" style="859" customWidth="1"/>
    <col min="778" max="778" width="9.140625" style="859"/>
    <col min="779" max="779" width="10.28515625" style="859" bestFit="1" customWidth="1"/>
    <col min="780" max="780" width="9.140625" style="859"/>
    <col min="781" max="781" width="76.42578125" style="859" customWidth="1"/>
    <col min="782" max="782" width="11.7109375" style="859" bestFit="1" customWidth="1"/>
    <col min="783" max="1024" width="9.140625" style="859"/>
    <col min="1025" max="1025" width="5.5703125" style="859" customWidth="1"/>
    <col min="1026" max="1026" width="33.140625" style="859" customWidth="1"/>
    <col min="1027" max="1027" width="37.5703125" style="859" customWidth="1"/>
    <col min="1028" max="1028" width="18.28515625" style="859" bestFit="1" customWidth="1"/>
    <col min="1029" max="1029" width="17.5703125" style="859" bestFit="1" customWidth="1"/>
    <col min="1030" max="1030" width="16.85546875" style="859" bestFit="1" customWidth="1"/>
    <col min="1031" max="1031" width="12.7109375" style="859" bestFit="1" customWidth="1"/>
    <col min="1032" max="1032" width="22.7109375" style="859" customWidth="1"/>
    <col min="1033" max="1033" width="19.85546875" style="859" customWidth="1"/>
    <col min="1034" max="1034" width="9.140625" style="859"/>
    <col min="1035" max="1035" width="10.28515625" style="859" bestFit="1" customWidth="1"/>
    <col min="1036" max="1036" width="9.140625" style="859"/>
    <col min="1037" max="1037" width="76.42578125" style="859" customWidth="1"/>
    <col min="1038" max="1038" width="11.7109375" style="859" bestFit="1" customWidth="1"/>
    <col min="1039" max="1280" width="9.140625" style="859"/>
    <col min="1281" max="1281" width="5.5703125" style="859" customWidth="1"/>
    <col min="1282" max="1282" width="33.140625" style="859" customWidth="1"/>
    <col min="1283" max="1283" width="37.5703125" style="859" customWidth="1"/>
    <col min="1284" max="1284" width="18.28515625" style="859" bestFit="1" customWidth="1"/>
    <col min="1285" max="1285" width="17.5703125" style="859" bestFit="1" customWidth="1"/>
    <col min="1286" max="1286" width="16.85546875" style="859" bestFit="1" customWidth="1"/>
    <col min="1287" max="1287" width="12.7109375" style="859" bestFit="1" customWidth="1"/>
    <col min="1288" max="1288" width="22.7109375" style="859" customWidth="1"/>
    <col min="1289" max="1289" width="19.85546875" style="859" customWidth="1"/>
    <col min="1290" max="1290" width="9.140625" style="859"/>
    <col min="1291" max="1291" width="10.28515625" style="859" bestFit="1" customWidth="1"/>
    <col min="1292" max="1292" width="9.140625" style="859"/>
    <col min="1293" max="1293" width="76.42578125" style="859" customWidth="1"/>
    <col min="1294" max="1294" width="11.7109375" style="859" bestFit="1" customWidth="1"/>
    <col min="1295" max="1536" width="9.140625" style="859"/>
    <col min="1537" max="1537" width="5.5703125" style="859" customWidth="1"/>
    <col min="1538" max="1538" width="33.140625" style="859" customWidth="1"/>
    <col min="1539" max="1539" width="37.5703125" style="859" customWidth="1"/>
    <col min="1540" max="1540" width="18.28515625" style="859" bestFit="1" customWidth="1"/>
    <col min="1541" max="1541" width="17.5703125" style="859" bestFit="1" customWidth="1"/>
    <col min="1542" max="1542" width="16.85546875" style="859" bestFit="1" customWidth="1"/>
    <col min="1543" max="1543" width="12.7109375" style="859" bestFit="1" customWidth="1"/>
    <col min="1544" max="1544" width="22.7109375" style="859" customWidth="1"/>
    <col min="1545" max="1545" width="19.85546875" style="859" customWidth="1"/>
    <col min="1546" max="1546" width="9.140625" style="859"/>
    <col min="1547" max="1547" width="10.28515625" style="859" bestFit="1" customWidth="1"/>
    <col min="1548" max="1548" width="9.140625" style="859"/>
    <col min="1549" max="1549" width="76.42578125" style="859" customWidth="1"/>
    <col min="1550" max="1550" width="11.7109375" style="859" bestFit="1" customWidth="1"/>
    <col min="1551" max="1792" width="9.140625" style="859"/>
    <col min="1793" max="1793" width="5.5703125" style="859" customWidth="1"/>
    <col min="1794" max="1794" width="33.140625" style="859" customWidth="1"/>
    <col min="1795" max="1795" width="37.5703125" style="859" customWidth="1"/>
    <col min="1796" max="1796" width="18.28515625" style="859" bestFit="1" customWidth="1"/>
    <col min="1797" max="1797" width="17.5703125" style="859" bestFit="1" customWidth="1"/>
    <col min="1798" max="1798" width="16.85546875" style="859" bestFit="1" customWidth="1"/>
    <col min="1799" max="1799" width="12.7109375" style="859" bestFit="1" customWidth="1"/>
    <col min="1800" max="1800" width="22.7109375" style="859" customWidth="1"/>
    <col min="1801" max="1801" width="19.85546875" style="859" customWidth="1"/>
    <col min="1802" max="1802" width="9.140625" style="859"/>
    <col min="1803" max="1803" width="10.28515625" style="859" bestFit="1" customWidth="1"/>
    <col min="1804" max="1804" width="9.140625" style="859"/>
    <col min="1805" max="1805" width="76.42578125" style="859" customWidth="1"/>
    <col min="1806" max="1806" width="11.7109375" style="859" bestFit="1" customWidth="1"/>
    <col min="1807" max="2048" width="9.140625" style="859"/>
    <col min="2049" max="2049" width="5.5703125" style="859" customWidth="1"/>
    <col min="2050" max="2050" width="33.140625" style="859" customWidth="1"/>
    <col min="2051" max="2051" width="37.5703125" style="859" customWidth="1"/>
    <col min="2052" max="2052" width="18.28515625" style="859" bestFit="1" customWidth="1"/>
    <col min="2053" max="2053" width="17.5703125" style="859" bestFit="1" customWidth="1"/>
    <col min="2054" max="2054" width="16.85546875" style="859" bestFit="1" customWidth="1"/>
    <col min="2055" max="2055" width="12.7109375" style="859" bestFit="1" customWidth="1"/>
    <col min="2056" max="2056" width="22.7109375" style="859" customWidth="1"/>
    <col min="2057" max="2057" width="19.85546875" style="859" customWidth="1"/>
    <col min="2058" max="2058" width="9.140625" style="859"/>
    <col min="2059" max="2059" width="10.28515625" style="859" bestFit="1" customWidth="1"/>
    <col min="2060" max="2060" width="9.140625" style="859"/>
    <col min="2061" max="2061" width="76.42578125" style="859" customWidth="1"/>
    <col min="2062" max="2062" width="11.7109375" style="859" bestFit="1" customWidth="1"/>
    <col min="2063" max="2304" width="9.140625" style="859"/>
    <col min="2305" max="2305" width="5.5703125" style="859" customWidth="1"/>
    <col min="2306" max="2306" width="33.140625" style="859" customWidth="1"/>
    <col min="2307" max="2307" width="37.5703125" style="859" customWidth="1"/>
    <col min="2308" max="2308" width="18.28515625" style="859" bestFit="1" customWidth="1"/>
    <col min="2309" max="2309" width="17.5703125" style="859" bestFit="1" customWidth="1"/>
    <col min="2310" max="2310" width="16.85546875" style="859" bestFit="1" customWidth="1"/>
    <col min="2311" max="2311" width="12.7109375" style="859" bestFit="1" customWidth="1"/>
    <col min="2312" max="2312" width="22.7109375" style="859" customWidth="1"/>
    <col min="2313" max="2313" width="19.85546875" style="859" customWidth="1"/>
    <col min="2314" max="2314" width="9.140625" style="859"/>
    <col min="2315" max="2315" width="10.28515625" style="859" bestFit="1" customWidth="1"/>
    <col min="2316" max="2316" width="9.140625" style="859"/>
    <col min="2317" max="2317" width="76.42578125" style="859" customWidth="1"/>
    <col min="2318" max="2318" width="11.7109375" style="859" bestFit="1" customWidth="1"/>
    <col min="2319" max="2560" width="9.140625" style="859"/>
    <col min="2561" max="2561" width="5.5703125" style="859" customWidth="1"/>
    <col min="2562" max="2562" width="33.140625" style="859" customWidth="1"/>
    <col min="2563" max="2563" width="37.5703125" style="859" customWidth="1"/>
    <col min="2564" max="2564" width="18.28515625" style="859" bestFit="1" customWidth="1"/>
    <col min="2565" max="2565" width="17.5703125" style="859" bestFit="1" customWidth="1"/>
    <col min="2566" max="2566" width="16.85546875" style="859" bestFit="1" customWidth="1"/>
    <col min="2567" max="2567" width="12.7109375" style="859" bestFit="1" customWidth="1"/>
    <col min="2568" max="2568" width="22.7109375" style="859" customWidth="1"/>
    <col min="2569" max="2569" width="19.85546875" style="859" customWidth="1"/>
    <col min="2570" max="2570" width="9.140625" style="859"/>
    <col min="2571" max="2571" width="10.28515625" style="859" bestFit="1" customWidth="1"/>
    <col min="2572" max="2572" width="9.140625" style="859"/>
    <col min="2573" max="2573" width="76.42578125" style="859" customWidth="1"/>
    <col min="2574" max="2574" width="11.7109375" style="859" bestFit="1" customWidth="1"/>
    <col min="2575" max="2816" width="9.140625" style="859"/>
    <col min="2817" max="2817" width="5.5703125" style="859" customWidth="1"/>
    <col min="2818" max="2818" width="33.140625" style="859" customWidth="1"/>
    <col min="2819" max="2819" width="37.5703125" style="859" customWidth="1"/>
    <col min="2820" max="2820" width="18.28515625" style="859" bestFit="1" customWidth="1"/>
    <col min="2821" max="2821" width="17.5703125" style="859" bestFit="1" customWidth="1"/>
    <col min="2822" max="2822" width="16.85546875" style="859" bestFit="1" customWidth="1"/>
    <col min="2823" max="2823" width="12.7109375" style="859" bestFit="1" customWidth="1"/>
    <col min="2824" max="2824" width="22.7109375" style="859" customWidth="1"/>
    <col min="2825" max="2825" width="19.85546875" style="859" customWidth="1"/>
    <col min="2826" max="2826" width="9.140625" style="859"/>
    <col min="2827" max="2827" width="10.28515625" style="859" bestFit="1" customWidth="1"/>
    <col min="2828" max="2828" width="9.140625" style="859"/>
    <col min="2829" max="2829" width="76.42578125" style="859" customWidth="1"/>
    <col min="2830" max="2830" width="11.7109375" style="859" bestFit="1" customWidth="1"/>
    <col min="2831" max="3072" width="9.140625" style="859"/>
    <col min="3073" max="3073" width="5.5703125" style="859" customWidth="1"/>
    <col min="3074" max="3074" width="33.140625" style="859" customWidth="1"/>
    <col min="3075" max="3075" width="37.5703125" style="859" customWidth="1"/>
    <col min="3076" max="3076" width="18.28515625" style="859" bestFit="1" customWidth="1"/>
    <col min="3077" max="3077" width="17.5703125" style="859" bestFit="1" customWidth="1"/>
    <col min="3078" max="3078" width="16.85546875" style="859" bestFit="1" customWidth="1"/>
    <col min="3079" max="3079" width="12.7109375" style="859" bestFit="1" customWidth="1"/>
    <col min="3080" max="3080" width="22.7109375" style="859" customWidth="1"/>
    <col min="3081" max="3081" width="19.85546875" style="859" customWidth="1"/>
    <col min="3082" max="3082" width="9.140625" style="859"/>
    <col min="3083" max="3083" width="10.28515625" style="859" bestFit="1" customWidth="1"/>
    <col min="3084" max="3084" width="9.140625" style="859"/>
    <col min="3085" max="3085" width="76.42578125" style="859" customWidth="1"/>
    <col min="3086" max="3086" width="11.7109375" style="859" bestFit="1" customWidth="1"/>
    <col min="3087" max="3328" width="9.140625" style="859"/>
    <col min="3329" max="3329" width="5.5703125" style="859" customWidth="1"/>
    <col min="3330" max="3330" width="33.140625" style="859" customWidth="1"/>
    <col min="3331" max="3331" width="37.5703125" style="859" customWidth="1"/>
    <col min="3332" max="3332" width="18.28515625" style="859" bestFit="1" customWidth="1"/>
    <col min="3333" max="3333" width="17.5703125" style="859" bestFit="1" customWidth="1"/>
    <col min="3334" max="3334" width="16.85546875" style="859" bestFit="1" customWidth="1"/>
    <col min="3335" max="3335" width="12.7109375" style="859" bestFit="1" customWidth="1"/>
    <col min="3336" max="3336" width="22.7109375" style="859" customWidth="1"/>
    <col min="3337" max="3337" width="19.85546875" style="859" customWidth="1"/>
    <col min="3338" max="3338" width="9.140625" style="859"/>
    <col min="3339" max="3339" width="10.28515625" style="859" bestFit="1" customWidth="1"/>
    <col min="3340" max="3340" width="9.140625" style="859"/>
    <col min="3341" max="3341" width="76.42578125" style="859" customWidth="1"/>
    <col min="3342" max="3342" width="11.7109375" style="859" bestFit="1" customWidth="1"/>
    <col min="3343" max="3584" width="9.140625" style="859"/>
    <col min="3585" max="3585" width="5.5703125" style="859" customWidth="1"/>
    <col min="3586" max="3586" width="33.140625" style="859" customWidth="1"/>
    <col min="3587" max="3587" width="37.5703125" style="859" customWidth="1"/>
    <col min="3588" max="3588" width="18.28515625" style="859" bestFit="1" customWidth="1"/>
    <col min="3589" max="3589" width="17.5703125" style="859" bestFit="1" customWidth="1"/>
    <col min="3590" max="3590" width="16.85546875" style="859" bestFit="1" customWidth="1"/>
    <col min="3591" max="3591" width="12.7109375" style="859" bestFit="1" customWidth="1"/>
    <col min="3592" max="3592" width="22.7109375" style="859" customWidth="1"/>
    <col min="3593" max="3593" width="19.85546875" style="859" customWidth="1"/>
    <col min="3594" max="3594" width="9.140625" style="859"/>
    <col min="3595" max="3595" width="10.28515625" style="859" bestFit="1" customWidth="1"/>
    <col min="3596" max="3596" width="9.140625" style="859"/>
    <col min="3597" max="3597" width="76.42578125" style="859" customWidth="1"/>
    <col min="3598" max="3598" width="11.7109375" style="859" bestFit="1" customWidth="1"/>
    <col min="3599" max="3840" width="9.140625" style="859"/>
    <col min="3841" max="3841" width="5.5703125" style="859" customWidth="1"/>
    <col min="3842" max="3842" width="33.140625" style="859" customWidth="1"/>
    <col min="3843" max="3843" width="37.5703125" style="859" customWidth="1"/>
    <col min="3844" max="3844" width="18.28515625" style="859" bestFit="1" customWidth="1"/>
    <col min="3845" max="3845" width="17.5703125" style="859" bestFit="1" customWidth="1"/>
    <col min="3846" max="3846" width="16.85546875" style="859" bestFit="1" customWidth="1"/>
    <col min="3847" max="3847" width="12.7109375" style="859" bestFit="1" customWidth="1"/>
    <col min="3848" max="3848" width="22.7109375" style="859" customWidth="1"/>
    <col min="3849" max="3849" width="19.85546875" style="859" customWidth="1"/>
    <col min="3850" max="3850" width="9.140625" style="859"/>
    <col min="3851" max="3851" width="10.28515625" style="859" bestFit="1" customWidth="1"/>
    <col min="3852" max="3852" width="9.140625" style="859"/>
    <col min="3853" max="3853" width="76.42578125" style="859" customWidth="1"/>
    <col min="3854" max="3854" width="11.7109375" style="859" bestFit="1" customWidth="1"/>
    <col min="3855" max="4096" width="9.140625" style="859"/>
    <col min="4097" max="4097" width="5.5703125" style="859" customWidth="1"/>
    <col min="4098" max="4098" width="33.140625" style="859" customWidth="1"/>
    <col min="4099" max="4099" width="37.5703125" style="859" customWidth="1"/>
    <col min="4100" max="4100" width="18.28515625" style="859" bestFit="1" customWidth="1"/>
    <col min="4101" max="4101" width="17.5703125" style="859" bestFit="1" customWidth="1"/>
    <col min="4102" max="4102" width="16.85546875" style="859" bestFit="1" customWidth="1"/>
    <col min="4103" max="4103" width="12.7109375" style="859" bestFit="1" customWidth="1"/>
    <col min="4104" max="4104" width="22.7109375" style="859" customWidth="1"/>
    <col min="4105" max="4105" width="19.85546875" style="859" customWidth="1"/>
    <col min="4106" max="4106" width="9.140625" style="859"/>
    <col min="4107" max="4107" width="10.28515625" style="859" bestFit="1" customWidth="1"/>
    <col min="4108" max="4108" width="9.140625" style="859"/>
    <col min="4109" max="4109" width="76.42578125" style="859" customWidth="1"/>
    <col min="4110" max="4110" width="11.7109375" style="859" bestFit="1" customWidth="1"/>
    <col min="4111" max="4352" width="9.140625" style="859"/>
    <col min="4353" max="4353" width="5.5703125" style="859" customWidth="1"/>
    <col min="4354" max="4354" width="33.140625" style="859" customWidth="1"/>
    <col min="4355" max="4355" width="37.5703125" style="859" customWidth="1"/>
    <col min="4356" max="4356" width="18.28515625" style="859" bestFit="1" customWidth="1"/>
    <col min="4357" max="4357" width="17.5703125" style="859" bestFit="1" customWidth="1"/>
    <col min="4358" max="4358" width="16.85546875" style="859" bestFit="1" customWidth="1"/>
    <col min="4359" max="4359" width="12.7109375" style="859" bestFit="1" customWidth="1"/>
    <col min="4360" max="4360" width="22.7109375" style="859" customWidth="1"/>
    <col min="4361" max="4361" width="19.85546875" style="859" customWidth="1"/>
    <col min="4362" max="4362" width="9.140625" style="859"/>
    <col min="4363" max="4363" width="10.28515625" style="859" bestFit="1" customWidth="1"/>
    <col min="4364" max="4364" width="9.140625" style="859"/>
    <col min="4365" max="4365" width="76.42578125" style="859" customWidth="1"/>
    <col min="4366" max="4366" width="11.7109375" style="859" bestFit="1" customWidth="1"/>
    <col min="4367" max="4608" width="9.140625" style="859"/>
    <col min="4609" max="4609" width="5.5703125" style="859" customWidth="1"/>
    <col min="4610" max="4610" width="33.140625" style="859" customWidth="1"/>
    <col min="4611" max="4611" width="37.5703125" style="859" customWidth="1"/>
    <col min="4612" max="4612" width="18.28515625" style="859" bestFit="1" customWidth="1"/>
    <col min="4613" max="4613" width="17.5703125" style="859" bestFit="1" customWidth="1"/>
    <col min="4614" max="4614" width="16.85546875" style="859" bestFit="1" customWidth="1"/>
    <col min="4615" max="4615" width="12.7109375" style="859" bestFit="1" customWidth="1"/>
    <col min="4616" max="4616" width="22.7109375" style="859" customWidth="1"/>
    <col min="4617" max="4617" width="19.85546875" style="859" customWidth="1"/>
    <col min="4618" max="4618" width="9.140625" style="859"/>
    <col min="4619" max="4619" width="10.28515625" style="859" bestFit="1" customWidth="1"/>
    <col min="4620" max="4620" width="9.140625" style="859"/>
    <col min="4621" max="4621" width="76.42578125" style="859" customWidth="1"/>
    <col min="4622" max="4622" width="11.7109375" style="859" bestFit="1" customWidth="1"/>
    <col min="4623" max="4864" width="9.140625" style="859"/>
    <col min="4865" max="4865" width="5.5703125" style="859" customWidth="1"/>
    <col min="4866" max="4866" width="33.140625" style="859" customWidth="1"/>
    <col min="4867" max="4867" width="37.5703125" style="859" customWidth="1"/>
    <col min="4868" max="4868" width="18.28515625" style="859" bestFit="1" customWidth="1"/>
    <col min="4869" max="4869" width="17.5703125" style="859" bestFit="1" customWidth="1"/>
    <col min="4870" max="4870" width="16.85546875" style="859" bestFit="1" customWidth="1"/>
    <col min="4871" max="4871" width="12.7109375" style="859" bestFit="1" customWidth="1"/>
    <col min="4872" max="4872" width="22.7109375" style="859" customWidth="1"/>
    <col min="4873" max="4873" width="19.85546875" style="859" customWidth="1"/>
    <col min="4874" max="4874" width="9.140625" style="859"/>
    <col min="4875" max="4875" width="10.28515625" style="859" bestFit="1" customWidth="1"/>
    <col min="4876" max="4876" width="9.140625" style="859"/>
    <col min="4877" max="4877" width="76.42578125" style="859" customWidth="1"/>
    <col min="4878" max="4878" width="11.7109375" style="859" bestFit="1" customWidth="1"/>
    <col min="4879" max="5120" width="9.140625" style="859"/>
    <col min="5121" max="5121" width="5.5703125" style="859" customWidth="1"/>
    <col min="5122" max="5122" width="33.140625" style="859" customWidth="1"/>
    <col min="5123" max="5123" width="37.5703125" style="859" customWidth="1"/>
    <col min="5124" max="5124" width="18.28515625" style="859" bestFit="1" customWidth="1"/>
    <col min="5125" max="5125" width="17.5703125" style="859" bestFit="1" customWidth="1"/>
    <col min="5126" max="5126" width="16.85546875" style="859" bestFit="1" customWidth="1"/>
    <col min="5127" max="5127" width="12.7109375" style="859" bestFit="1" customWidth="1"/>
    <col min="5128" max="5128" width="22.7109375" style="859" customWidth="1"/>
    <col min="5129" max="5129" width="19.85546875" style="859" customWidth="1"/>
    <col min="5130" max="5130" width="9.140625" style="859"/>
    <col min="5131" max="5131" width="10.28515625" style="859" bestFit="1" customWidth="1"/>
    <col min="5132" max="5132" width="9.140625" style="859"/>
    <col min="5133" max="5133" width="76.42578125" style="859" customWidth="1"/>
    <col min="5134" max="5134" width="11.7109375" style="859" bestFit="1" customWidth="1"/>
    <col min="5135" max="5376" width="9.140625" style="859"/>
    <col min="5377" max="5377" width="5.5703125" style="859" customWidth="1"/>
    <col min="5378" max="5378" width="33.140625" style="859" customWidth="1"/>
    <col min="5379" max="5379" width="37.5703125" style="859" customWidth="1"/>
    <col min="5380" max="5380" width="18.28515625" style="859" bestFit="1" customWidth="1"/>
    <col min="5381" max="5381" width="17.5703125" style="859" bestFit="1" customWidth="1"/>
    <col min="5382" max="5382" width="16.85546875" style="859" bestFit="1" customWidth="1"/>
    <col min="5383" max="5383" width="12.7109375" style="859" bestFit="1" customWidth="1"/>
    <col min="5384" max="5384" width="22.7109375" style="859" customWidth="1"/>
    <col min="5385" max="5385" width="19.85546875" style="859" customWidth="1"/>
    <col min="5386" max="5386" width="9.140625" style="859"/>
    <col min="5387" max="5387" width="10.28515625" style="859" bestFit="1" customWidth="1"/>
    <col min="5388" max="5388" width="9.140625" style="859"/>
    <col min="5389" max="5389" width="76.42578125" style="859" customWidth="1"/>
    <col min="5390" max="5390" width="11.7109375" style="859" bestFit="1" customWidth="1"/>
    <col min="5391" max="5632" width="9.140625" style="859"/>
    <col min="5633" max="5633" width="5.5703125" style="859" customWidth="1"/>
    <col min="5634" max="5634" width="33.140625" style="859" customWidth="1"/>
    <col min="5635" max="5635" width="37.5703125" style="859" customWidth="1"/>
    <col min="5636" max="5636" width="18.28515625" style="859" bestFit="1" customWidth="1"/>
    <col min="5637" max="5637" width="17.5703125" style="859" bestFit="1" customWidth="1"/>
    <col min="5638" max="5638" width="16.85546875" style="859" bestFit="1" customWidth="1"/>
    <col min="5639" max="5639" width="12.7109375" style="859" bestFit="1" customWidth="1"/>
    <col min="5640" max="5640" width="22.7109375" style="859" customWidth="1"/>
    <col min="5641" max="5641" width="19.85546875" style="859" customWidth="1"/>
    <col min="5642" max="5642" width="9.140625" style="859"/>
    <col min="5643" max="5643" width="10.28515625" style="859" bestFit="1" customWidth="1"/>
    <col min="5644" max="5644" width="9.140625" style="859"/>
    <col min="5645" max="5645" width="76.42578125" style="859" customWidth="1"/>
    <col min="5646" max="5646" width="11.7109375" style="859" bestFit="1" customWidth="1"/>
    <col min="5647" max="5888" width="9.140625" style="859"/>
    <col min="5889" max="5889" width="5.5703125" style="859" customWidth="1"/>
    <col min="5890" max="5890" width="33.140625" style="859" customWidth="1"/>
    <col min="5891" max="5891" width="37.5703125" style="859" customWidth="1"/>
    <col min="5892" max="5892" width="18.28515625" style="859" bestFit="1" customWidth="1"/>
    <col min="5893" max="5893" width="17.5703125" style="859" bestFit="1" customWidth="1"/>
    <col min="5894" max="5894" width="16.85546875" style="859" bestFit="1" customWidth="1"/>
    <col min="5895" max="5895" width="12.7109375" style="859" bestFit="1" customWidth="1"/>
    <col min="5896" max="5896" width="22.7109375" style="859" customWidth="1"/>
    <col min="5897" max="5897" width="19.85546875" style="859" customWidth="1"/>
    <col min="5898" max="5898" width="9.140625" style="859"/>
    <col min="5899" max="5899" width="10.28515625" style="859" bestFit="1" customWidth="1"/>
    <col min="5900" max="5900" width="9.140625" style="859"/>
    <col min="5901" max="5901" width="76.42578125" style="859" customWidth="1"/>
    <col min="5902" max="5902" width="11.7109375" style="859" bestFit="1" customWidth="1"/>
    <col min="5903" max="6144" width="9.140625" style="859"/>
    <col min="6145" max="6145" width="5.5703125" style="859" customWidth="1"/>
    <col min="6146" max="6146" width="33.140625" style="859" customWidth="1"/>
    <col min="6147" max="6147" width="37.5703125" style="859" customWidth="1"/>
    <col min="6148" max="6148" width="18.28515625" style="859" bestFit="1" customWidth="1"/>
    <col min="6149" max="6149" width="17.5703125" style="859" bestFit="1" customWidth="1"/>
    <col min="6150" max="6150" width="16.85546875" style="859" bestFit="1" customWidth="1"/>
    <col min="6151" max="6151" width="12.7109375" style="859" bestFit="1" customWidth="1"/>
    <col min="6152" max="6152" width="22.7109375" style="859" customWidth="1"/>
    <col min="6153" max="6153" width="19.85546875" style="859" customWidth="1"/>
    <col min="6154" max="6154" width="9.140625" style="859"/>
    <col min="6155" max="6155" width="10.28515625" style="859" bestFit="1" customWidth="1"/>
    <col min="6156" max="6156" width="9.140625" style="859"/>
    <col min="6157" max="6157" width="76.42578125" style="859" customWidth="1"/>
    <col min="6158" max="6158" width="11.7109375" style="859" bestFit="1" customWidth="1"/>
    <col min="6159" max="6400" width="9.140625" style="859"/>
    <col min="6401" max="6401" width="5.5703125" style="859" customWidth="1"/>
    <col min="6402" max="6402" width="33.140625" style="859" customWidth="1"/>
    <col min="6403" max="6403" width="37.5703125" style="859" customWidth="1"/>
    <col min="6404" max="6404" width="18.28515625" style="859" bestFit="1" customWidth="1"/>
    <col min="6405" max="6405" width="17.5703125" style="859" bestFit="1" customWidth="1"/>
    <col min="6406" max="6406" width="16.85546875" style="859" bestFit="1" customWidth="1"/>
    <col min="6407" max="6407" width="12.7109375" style="859" bestFit="1" customWidth="1"/>
    <col min="6408" max="6408" width="22.7109375" style="859" customWidth="1"/>
    <col min="6409" max="6409" width="19.85546875" style="859" customWidth="1"/>
    <col min="6410" max="6410" width="9.140625" style="859"/>
    <col min="6411" max="6411" width="10.28515625" style="859" bestFit="1" customWidth="1"/>
    <col min="6412" max="6412" width="9.140625" style="859"/>
    <col min="6413" max="6413" width="76.42578125" style="859" customWidth="1"/>
    <col min="6414" max="6414" width="11.7109375" style="859" bestFit="1" customWidth="1"/>
    <col min="6415" max="6656" width="9.140625" style="859"/>
    <col min="6657" max="6657" width="5.5703125" style="859" customWidth="1"/>
    <col min="6658" max="6658" width="33.140625" style="859" customWidth="1"/>
    <col min="6659" max="6659" width="37.5703125" style="859" customWidth="1"/>
    <col min="6660" max="6660" width="18.28515625" style="859" bestFit="1" customWidth="1"/>
    <col min="6661" max="6661" width="17.5703125" style="859" bestFit="1" customWidth="1"/>
    <col min="6662" max="6662" width="16.85546875" style="859" bestFit="1" customWidth="1"/>
    <col min="6663" max="6663" width="12.7109375" style="859" bestFit="1" customWidth="1"/>
    <col min="6664" max="6664" width="22.7109375" style="859" customWidth="1"/>
    <col min="6665" max="6665" width="19.85546875" style="859" customWidth="1"/>
    <col min="6666" max="6666" width="9.140625" style="859"/>
    <col min="6667" max="6667" width="10.28515625" style="859" bestFit="1" customWidth="1"/>
    <col min="6668" max="6668" width="9.140625" style="859"/>
    <col min="6669" max="6669" width="76.42578125" style="859" customWidth="1"/>
    <col min="6670" max="6670" width="11.7109375" style="859" bestFit="1" customWidth="1"/>
    <col min="6671" max="6912" width="9.140625" style="859"/>
    <col min="6913" max="6913" width="5.5703125" style="859" customWidth="1"/>
    <col min="6914" max="6914" width="33.140625" style="859" customWidth="1"/>
    <col min="6915" max="6915" width="37.5703125" style="859" customWidth="1"/>
    <col min="6916" max="6916" width="18.28515625" style="859" bestFit="1" customWidth="1"/>
    <col min="6917" max="6917" width="17.5703125" style="859" bestFit="1" customWidth="1"/>
    <col min="6918" max="6918" width="16.85546875" style="859" bestFit="1" customWidth="1"/>
    <col min="6919" max="6919" width="12.7109375" style="859" bestFit="1" customWidth="1"/>
    <col min="6920" max="6920" width="22.7109375" style="859" customWidth="1"/>
    <col min="6921" max="6921" width="19.85546875" style="859" customWidth="1"/>
    <col min="6922" max="6922" width="9.140625" style="859"/>
    <col min="6923" max="6923" width="10.28515625" style="859" bestFit="1" customWidth="1"/>
    <col min="6924" max="6924" width="9.140625" style="859"/>
    <col min="6925" max="6925" width="76.42578125" style="859" customWidth="1"/>
    <col min="6926" max="6926" width="11.7109375" style="859" bestFit="1" customWidth="1"/>
    <col min="6927" max="7168" width="9.140625" style="859"/>
    <col min="7169" max="7169" width="5.5703125" style="859" customWidth="1"/>
    <col min="7170" max="7170" width="33.140625" style="859" customWidth="1"/>
    <col min="7171" max="7171" width="37.5703125" style="859" customWidth="1"/>
    <col min="7172" max="7172" width="18.28515625" style="859" bestFit="1" customWidth="1"/>
    <col min="7173" max="7173" width="17.5703125" style="859" bestFit="1" customWidth="1"/>
    <col min="7174" max="7174" width="16.85546875" style="859" bestFit="1" customWidth="1"/>
    <col min="7175" max="7175" width="12.7109375" style="859" bestFit="1" customWidth="1"/>
    <col min="7176" max="7176" width="22.7109375" style="859" customWidth="1"/>
    <col min="7177" max="7177" width="19.85546875" style="859" customWidth="1"/>
    <col min="7178" max="7178" width="9.140625" style="859"/>
    <col min="7179" max="7179" width="10.28515625" style="859" bestFit="1" customWidth="1"/>
    <col min="7180" max="7180" width="9.140625" style="859"/>
    <col min="7181" max="7181" width="76.42578125" style="859" customWidth="1"/>
    <col min="7182" max="7182" width="11.7109375" style="859" bestFit="1" customWidth="1"/>
    <col min="7183" max="7424" width="9.140625" style="859"/>
    <col min="7425" max="7425" width="5.5703125" style="859" customWidth="1"/>
    <col min="7426" max="7426" width="33.140625" style="859" customWidth="1"/>
    <col min="7427" max="7427" width="37.5703125" style="859" customWidth="1"/>
    <col min="7428" max="7428" width="18.28515625" style="859" bestFit="1" customWidth="1"/>
    <col min="7429" max="7429" width="17.5703125" style="859" bestFit="1" customWidth="1"/>
    <col min="7430" max="7430" width="16.85546875" style="859" bestFit="1" customWidth="1"/>
    <col min="7431" max="7431" width="12.7109375" style="859" bestFit="1" customWidth="1"/>
    <col min="7432" max="7432" width="22.7109375" style="859" customWidth="1"/>
    <col min="7433" max="7433" width="19.85546875" style="859" customWidth="1"/>
    <col min="7434" max="7434" width="9.140625" style="859"/>
    <col min="7435" max="7435" width="10.28515625" style="859" bestFit="1" customWidth="1"/>
    <col min="7436" max="7436" width="9.140625" style="859"/>
    <col min="7437" max="7437" width="76.42578125" style="859" customWidth="1"/>
    <col min="7438" max="7438" width="11.7109375" style="859" bestFit="1" customWidth="1"/>
    <col min="7439" max="7680" width="9.140625" style="859"/>
    <col min="7681" max="7681" width="5.5703125" style="859" customWidth="1"/>
    <col min="7682" max="7682" width="33.140625" style="859" customWidth="1"/>
    <col min="7683" max="7683" width="37.5703125" style="859" customWidth="1"/>
    <col min="7684" max="7684" width="18.28515625" style="859" bestFit="1" customWidth="1"/>
    <col min="7685" max="7685" width="17.5703125" style="859" bestFit="1" customWidth="1"/>
    <col min="7686" max="7686" width="16.85546875" style="859" bestFit="1" customWidth="1"/>
    <col min="7687" max="7687" width="12.7109375" style="859" bestFit="1" customWidth="1"/>
    <col min="7688" max="7688" width="22.7109375" style="859" customWidth="1"/>
    <col min="7689" max="7689" width="19.85546875" style="859" customWidth="1"/>
    <col min="7690" max="7690" width="9.140625" style="859"/>
    <col min="7691" max="7691" width="10.28515625" style="859" bestFit="1" customWidth="1"/>
    <col min="7692" max="7692" width="9.140625" style="859"/>
    <col min="7693" max="7693" width="76.42578125" style="859" customWidth="1"/>
    <col min="7694" max="7694" width="11.7109375" style="859" bestFit="1" customWidth="1"/>
    <col min="7695" max="7936" width="9.140625" style="859"/>
    <col min="7937" max="7937" width="5.5703125" style="859" customWidth="1"/>
    <col min="7938" max="7938" width="33.140625" style="859" customWidth="1"/>
    <col min="7939" max="7939" width="37.5703125" style="859" customWidth="1"/>
    <col min="7940" max="7940" width="18.28515625" style="859" bestFit="1" customWidth="1"/>
    <col min="7941" max="7941" width="17.5703125" style="859" bestFit="1" customWidth="1"/>
    <col min="7942" max="7942" width="16.85546875" style="859" bestFit="1" customWidth="1"/>
    <col min="7943" max="7943" width="12.7109375" style="859" bestFit="1" customWidth="1"/>
    <col min="7944" max="7944" width="22.7109375" style="859" customWidth="1"/>
    <col min="7945" max="7945" width="19.85546875" style="859" customWidth="1"/>
    <col min="7946" max="7946" width="9.140625" style="859"/>
    <col min="7947" max="7947" width="10.28515625" style="859" bestFit="1" customWidth="1"/>
    <col min="7948" max="7948" width="9.140625" style="859"/>
    <col min="7949" max="7949" width="76.42578125" style="859" customWidth="1"/>
    <col min="7950" max="7950" width="11.7109375" style="859" bestFit="1" customWidth="1"/>
    <col min="7951" max="8192" width="9.140625" style="859"/>
    <col min="8193" max="8193" width="5.5703125" style="859" customWidth="1"/>
    <col min="8194" max="8194" width="33.140625" style="859" customWidth="1"/>
    <col min="8195" max="8195" width="37.5703125" style="859" customWidth="1"/>
    <col min="8196" max="8196" width="18.28515625" style="859" bestFit="1" customWidth="1"/>
    <col min="8197" max="8197" width="17.5703125" style="859" bestFit="1" customWidth="1"/>
    <col min="8198" max="8198" width="16.85546875" style="859" bestFit="1" customWidth="1"/>
    <col min="8199" max="8199" width="12.7109375" style="859" bestFit="1" customWidth="1"/>
    <col min="8200" max="8200" width="22.7109375" style="859" customWidth="1"/>
    <col min="8201" max="8201" width="19.85546875" style="859" customWidth="1"/>
    <col min="8202" max="8202" width="9.140625" style="859"/>
    <col min="8203" max="8203" width="10.28515625" style="859" bestFit="1" customWidth="1"/>
    <col min="8204" max="8204" width="9.140625" style="859"/>
    <col min="8205" max="8205" width="76.42578125" style="859" customWidth="1"/>
    <col min="8206" max="8206" width="11.7109375" style="859" bestFit="1" customWidth="1"/>
    <col min="8207" max="8448" width="9.140625" style="859"/>
    <col min="8449" max="8449" width="5.5703125" style="859" customWidth="1"/>
    <col min="8450" max="8450" width="33.140625" style="859" customWidth="1"/>
    <col min="8451" max="8451" width="37.5703125" style="859" customWidth="1"/>
    <col min="8452" max="8452" width="18.28515625" style="859" bestFit="1" customWidth="1"/>
    <col min="8453" max="8453" width="17.5703125" style="859" bestFit="1" customWidth="1"/>
    <col min="8454" max="8454" width="16.85546875" style="859" bestFit="1" customWidth="1"/>
    <col min="8455" max="8455" width="12.7109375" style="859" bestFit="1" customWidth="1"/>
    <col min="8456" max="8456" width="22.7109375" style="859" customWidth="1"/>
    <col min="8457" max="8457" width="19.85546875" style="859" customWidth="1"/>
    <col min="8458" max="8458" width="9.140625" style="859"/>
    <col min="8459" max="8459" width="10.28515625" style="859" bestFit="1" customWidth="1"/>
    <col min="8460" max="8460" width="9.140625" style="859"/>
    <col min="8461" max="8461" width="76.42578125" style="859" customWidth="1"/>
    <col min="8462" max="8462" width="11.7109375" style="859" bestFit="1" customWidth="1"/>
    <col min="8463" max="8704" width="9.140625" style="859"/>
    <col min="8705" max="8705" width="5.5703125" style="859" customWidth="1"/>
    <col min="8706" max="8706" width="33.140625" style="859" customWidth="1"/>
    <col min="8707" max="8707" width="37.5703125" style="859" customWidth="1"/>
    <col min="8708" max="8708" width="18.28515625" style="859" bestFit="1" customWidth="1"/>
    <col min="8709" max="8709" width="17.5703125" style="859" bestFit="1" customWidth="1"/>
    <col min="8710" max="8710" width="16.85546875" style="859" bestFit="1" customWidth="1"/>
    <col min="8711" max="8711" width="12.7109375" style="859" bestFit="1" customWidth="1"/>
    <col min="8712" max="8712" width="22.7109375" style="859" customWidth="1"/>
    <col min="8713" max="8713" width="19.85546875" style="859" customWidth="1"/>
    <col min="8714" max="8714" width="9.140625" style="859"/>
    <col min="8715" max="8715" width="10.28515625" style="859" bestFit="1" customWidth="1"/>
    <col min="8716" max="8716" width="9.140625" style="859"/>
    <col min="8717" max="8717" width="76.42578125" style="859" customWidth="1"/>
    <col min="8718" max="8718" width="11.7109375" style="859" bestFit="1" customWidth="1"/>
    <col min="8719" max="8960" width="9.140625" style="859"/>
    <col min="8961" max="8961" width="5.5703125" style="859" customWidth="1"/>
    <col min="8962" max="8962" width="33.140625" style="859" customWidth="1"/>
    <col min="8963" max="8963" width="37.5703125" style="859" customWidth="1"/>
    <col min="8964" max="8964" width="18.28515625" style="859" bestFit="1" customWidth="1"/>
    <col min="8965" max="8965" width="17.5703125" style="859" bestFit="1" customWidth="1"/>
    <col min="8966" max="8966" width="16.85546875" style="859" bestFit="1" customWidth="1"/>
    <col min="8967" max="8967" width="12.7109375" style="859" bestFit="1" customWidth="1"/>
    <col min="8968" max="8968" width="22.7109375" style="859" customWidth="1"/>
    <col min="8969" max="8969" width="19.85546875" style="859" customWidth="1"/>
    <col min="8970" max="8970" width="9.140625" style="859"/>
    <col min="8971" max="8971" width="10.28515625" style="859" bestFit="1" customWidth="1"/>
    <col min="8972" max="8972" width="9.140625" style="859"/>
    <col min="8973" max="8973" width="76.42578125" style="859" customWidth="1"/>
    <col min="8974" max="8974" width="11.7109375" style="859" bestFit="1" customWidth="1"/>
    <col min="8975" max="9216" width="9.140625" style="859"/>
    <col min="9217" max="9217" width="5.5703125" style="859" customWidth="1"/>
    <col min="9218" max="9218" width="33.140625" style="859" customWidth="1"/>
    <col min="9219" max="9219" width="37.5703125" style="859" customWidth="1"/>
    <col min="9220" max="9220" width="18.28515625" style="859" bestFit="1" customWidth="1"/>
    <col min="9221" max="9221" width="17.5703125" style="859" bestFit="1" customWidth="1"/>
    <col min="9222" max="9222" width="16.85546875" style="859" bestFit="1" customWidth="1"/>
    <col min="9223" max="9223" width="12.7109375" style="859" bestFit="1" customWidth="1"/>
    <col min="9224" max="9224" width="22.7109375" style="859" customWidth="1"/>
    <col min="9225" max="9225" width="19.85546875" style="859" customWidth="1"/>
    <col min="9226" max="9226" width="9.140625" style="859"/>
    <col min="9227" max="9227" width="10.28515625" style="859" bestFit="1" customWidth="1"/>
    <col min="9228" max="9228" width="9.140625" style="859"/>
    <col min="9229" max="9229" width="76.42578125" style="859" customWidth="1"/>
    <col min="9230" max="9230" width="11.7109375" style="859" bestFit="1" customWidth="1"/>
    <col min="9231" max="9472" width="9.140625" style="859"/>
    <col min="9473" max="9473" width="5.5703125" style="859" customWidth="1"/>
    <col min="9474" max="9474" width="33.140625" style="859" customWidth="1"/>
    <col min="9475" max="9475" width="37.5703125" style="859" customWidth="1"/>
    <col min="9476" max="9476" width="18.28515625" style="859" bestFit="1" customWidth="1"/>
    <col min="9477" max="9477" width="17.5703125" style="859" bestFit="1" customWidth="1"/>
    <col min="9478" max="9478" width="16.85546875" style="859" bestFit="1" customWidth="1"/>
    <col min="9479" max="9479" width="12.7109375" style="859" bestFit="1" customWidth="1"/>
    <col min="9480" max="9480" width="22.7109375" style="859" customWidth="1"/>
    <col min="9481" max="9481" width="19.85546875" style="859" customWidth="1"/>
    <col min="9482" max="9482" width="9.140625" style="859"/>
    <col min="9483" max="9483" width="10.28515625" style="859" bestFit="1" customWidth="1"/>
    <col min="9484" max="9484" width="9.140625" style="859"/>
    <col min="9485" max="9485" width="76.42578125" style="859" customWidth="1"/>
    <col min="9486" max="9486" width="11.7109375" style="859" bestFit="1" customWidth="1"/>
    <col min="9487" max="9728" width="9.140625" style="859"/>
    <col min="9729" max="9729" width="5.5703125" style="859" customWidth="1"/>
    <col min="9730" max="9730" width="33.140625" style="859" customWidth="1"/>
    <col min="9731" max="9731" width="37.5703125" style="859" customWidth="1"/>
    <col min="9732" max="9732" width="18.28515625" style="859" bestFit="1" customWidth="1"/>
    <col min="9733" max="9733" width="17.5703125" style="859" bestFit="1" customWidth="1"/>
    <col min="9734" max="9734" width="16.85546875" style="859" bestFit="1" customWidth="1"/>
    <col min="9735" max="9735" width="12.7109375" style="859" bestFit="1" customWidth="1"/>
    <col min="9736" max="9736" width="22.7109375" style="859" customWidth="1"/>
    <col min="9737" max="9737" width="19.85546875" style="859" customWidth="1"/>
    <col min="9738" max="9738" width="9.140625" style="859"/>
    <col min="9739" max="9739" width="10.28515625" style="859" bestFit="1" customWidth="1"/>
    <col min="9740" max="9740" width="9.140625" style="859"/>
    <col min="9741" max="9741" width="76.42578125" style="859" customWidth="1"/>
    <col min="9742" max="9742" width="11.7109375" style="859" bestFit="1" customWidth="1"/>
    <col min="9743" max="9984" width="9.140625" style="859"/>
    <col min="9985" max="9985" width="5.5703125" style="859" customWidth="1"/>
    <col min="9986" max="9986" width="33.140625" style="859" customWidth="1"/>
    <col min="9987" max="9987" width="37.5703125" style="859" customWidth="1"/>
    <col min="9988" max="9988" width="18.28515625" style="859" bestFit="1" customWidth="1"/>
    <col min="9989" max="9989" width="17.5703125" style="859" bestFit="1" customWidth="1"/>
    <col min="9990" max="9990" width="16.85546875" style="859" bestFit="1" customWidth="1"/>
    <col min="9991" max="9991" width="12.7109375" style="859" bestFit="1" customWidth="1"/>
    <col min="9992" max="9992" width="22.7109375" style="859" customWidth="1"/>
    <col min="9993" max="9993" width="19.85546875" style="859" customWidth="1"/>
    <col min="9994" max="9994" width="9.140625" style="859"/>
    <col min="9995" max="9995" width="10.28515625" style="859" bestFit="1" customWidth="1"/>
    <col min="9996" max="9996" width="9.140625" style="859"/>
    <col min="9997" max="9997" width="76.42578125" style="859" customWidth="1"/>
    <col min="9998" max="9998" width="11.7109375" style="859" bestFit="1" customWidth="1"/>
    <col min="9999" max="10240" width="9.140625" style="859"/>
    <col min="10241" max="10241" width="5.5703125" style="859" customWidth="1"/>
    <col min="10242" max="10242" width="33.140625" style="859" customWidth="1"/>
    <col min="10243" max="10243" width="37.5703125" style="859" customWidth="1"/>
    <col min="10244" max="10244" width="18.28515625" style="859" bestFit="1" customWidth="1"/>
    <col min="10245" max="10245" width="17.5703125" style="859" bestFit="1" customWidth="1"/>
    <col min="10246" max="10246" width="16.85546875" style="859" bestFit="1" customWidth="1"/>
    <col min="10247" max="10247" width="12.7109375" style="859" bestFit="1" customWidth="1"/>
    <col min="10248" max="10248" width="22.7109375" style="859" customWidth="1"/>
    <col min="10249" max="10249" width="19.85546875" style="859" customWidth="1"/>
    <col min="10250" max="10250" width="9.140625" style="859"/>
    <col min="10251" max="10251" width="10.28515625" style="859" bestFit="1" customWidth="1"/>
    <col min="10252" max="10252" width="9.140625" style="859"/>
    <col min="10253" max="10253" width="76.42578125" style="859" customWidth="1"/>
    <col min="10254" max="10254" width="11.7109375" style="859" bestFit="1" customWidth="1"/>
    <col min="10255" max="10496" width="9.140625" style="859"/>
    <col min="10497" max="10497" width="5.5703125" style="859" customWidth="1"/>
    <col min="10498" max="10498" width="33.140625" style="859" customWidth="1"/>
    <col min="10499" max="10499" width="37.5703125" style="859" customWidth="1"/>
    <col min="10500" max="10500" width="18.28515625" style="859" bestFit="1" customWidth="1"/>
    <col min="10501" max="10501" width="17.5703125" style="859" bestFit="1" customWidth="1"/>
    <col min="10502" max="10502" width="16.85546875" style="859" bestFit="1" customWidth="1"/>
    <col min="10503" max="10503" width="12.7109375" style="859" bestFit="1" customWidth="1"/>
    <col min="10504" max="10504" width="22.7109375" style="859" customWidth="1"/>
    <col min="10505" max="10505" width="19.85546875" style="859" customWidth="1"/>
    <col min="10506" max="10506" width="9.140625" style="859"/>
    <col min="10507" max="10507" width="10.28515625" style="859" bestFit="1" customWidth="1"/>
    <col min="10508" max="10508" width="9.140625" style="859"/>
    <col min="10509" max="10509" width="76.42578125" style="859" customWidth="1"/>
    <col min="10510" max="10510" width="11.7109375" style="859" bestFit="1" customWidth="1"/>
    <col min="10511" max="10752" width="9.140625" style="859"/>
    <col min="10753" max="10753" width="5.5703125" style="859" customWidth="1"/>
    <col min="10754" max="10754" width="33.140625" style="859" customWidth="1"/>
    <col min="10755" max="10755" width="37.5703125" style="859" customWidth="1"/>
    <col min="10756" max="10756" width="18.28515625" style="859" bestFit="1" customWidth="1"/>
    <col min="10757" max="10757" width="17.5703125" style="859" bestFit="1" customWidth="1"/>
    <col min="10758" max="10758" width="16.85546875" style="859" bestFit="1" customWidth="1"/>
    <col min="10759" max="10759" width="12.7109375" style="859" bestFit="1" customWidth="1"/>
    <col min="10760" max="10760" width="22.7109375" style="859" customWidth="1"/>
    <col min="10761" max="10761" width="19.85546875" style="859" customWidth="1"/>
    <col min="10762" max="10762" width="9.140625" style="859"/>
    <col min="10763" max="10763" width="10.28515625" style="859" bestFit="1" customWidth="1"/>
    <col min="10764" max="10764" width="9.140625" style="859"/>
    <col min="10765" max="10765" width="76.42578125" style="859" customWidth="1"/>
    <col min="10766" max="10766" width="11.7109375" style="859" bestFit="1" customWidth="1"/>
    <col min="10767" max="11008" width="9.140625" style="859"/>
    <col min="11009" max="11009" width="5.5703125" style="859" customWidth="1"/>
    <col min="11010" max="11010" width="33.140625" style="859" customWidth="1"/>
    <col min="11011" max="11011" width="37.5703125" style="859" customWidth="1"/>
    <col min="11012" max="11012" width="18.28515625" style="859" bestFit="1" customWidth="1"/>
    <col min="11013" max="11013" width="17.5703125" style="859" bestFit="1" customWidth="1"/>
    <col min="11014" max="11014" width="16.85546875" style="859" bestFit="1" customWidth="1"/>
    <col min="11015" max="11015" width="12.7109375" style="859" bestFit="1" customWidth="1"/>
    <col min="11016" max="11016" width="22.7109375" style="859" customWidth="1"/>
    <col min="11017" max="11017" width="19.85546875" style="859" customWidth="1"/>
    <col min="11018" max="11018" width="9.140625" style="859"/>
    <col min="11019" max="11019" width="10.28515625" style="859" bestFit="1" customWidth="1"/>
    <col min="11020" max="11020" width="9.140625" style="859"/>
    <col min="11021" max="11021" width="76.42578125" style="859" customWidth="1"/>
    <col min="11022" max="11022" width="11.7109375" style="859" bestFit="1" customWidth="1"/>
    <col min="11023" max="11264" width="9.140625" style="859"/>
    <col min="11265" max="11265" width="5.5703125" style="859" customWidth="1"/>
    <col min="11266" max="11266" width="33.140625" style="859" customWidth="1"/>
    <col min="11267" max="11267" width="37.5703125" style="859" customWidth="1"/>
    <col min="11268" max="11268" width="18.28515625" style="859" bestFit="1" customWidth="1"/>
    <col min="11269" max="11269" width="17.5703125" style="859" bestFit="1" customWidth="1"/>
    <col min="11270" max="11270" width="16.85546875" style="859" bestFit="1" customWidth="1"/>
    <col min="11271" max="11271" width="12.7109375" style="859" bestFit="1" customWidth="1"/>
    <col min="11272" max="11272" width="22.7109375" style="859" customWidth="1"/>
    <col min="11273" max="11273" width="19.85546875" style="859" customWidth="1"/>
    <col min="11274" max="11274" width="9.140625" style="859"/>
    <col min="11275" max="11275" width="10.28515625" style="859" bestFit="1" customWidth="1"/>
    <col min="11276" max="11276" width="9.140625" style="859"/>
    <col min="11277" max="11277" width="76.42578125" style="859" customWidth="1"/>
    <col min="11278" max="11278" width="11.7109375" style="859" bestFit="1" customWidth="1"/>
    <col min="11279" max="11520" width="9.140625" style="859"/>
    <col min="11521" max="11521" width="5.5703125" style="859" customWidth="1"/>
    <col min="11522" max="11522" width="33.140625" style="859" customWidth="1"/>
    <col min="11523" max="11523" width="37.5703125" style="859" customWidth="1"/>
    <col min="11524" max="11524" width="18.28515625" style="859" bestFit="1" customWidth="1"/>
    <col min="11525" max="11525" width="17.5703125" style="859" bestFit="1" customWidth="1"/>
    <col min="11526" max="11526" width="16.85546875" style="859" bestFit="1" customWidth="1"/>
    <col min="11527" max="11527" width="12.7109375" style="859" bestFit="1" customWidth="1"/>
    <col min="11528" max="11528" width="22.7109375" style="859" customWidth="1"/>
    <col min="11529" max="11529" width="19.85546875" style="859" customWidth="1"/>
    <col min="11530" max="11530" width="9.140625" style="859"/>
    <col min="11531" max="11531" width="10.28515625" style="859" bestFit="1" customWidth="1"/>
    <col min="11532" max="11532" width="9.140625" style="859"/>
    <col min="11533" max="11533" width="76.42578125" style="859" customWidth="1"/>
    <col min="11534" max="11534" width="11.7109375" style="859" bestFit="1" customWidth="1"/>
    <col min="11535" max="11776" width="9.140625" style="859"/>
    <col min="11777" max="11777" width="5.5703125" style="859" customWidth="1"/>
    <col min="11778" max="11778" width="33.140625" style="859" customWidth="1"/>
    <col min="11779" max="11779" width="37.5703125" style="859" customWidth="1"/>
    <col min="11780" max="11780" width="18.28515625" style="859" bestFit="1" customWidth="1"/>
    <col min="11781" max="11781" width="17.5703125" style="859" bestFit="1" customWidth="1"/>
    <col min="11782" max="11782" width="16.85546875" style="859" bestFit="1" customWidth="1"/>
    <col min="11783" max="11783" width="12.7109375" style="859" bestFit="1" customWidth="1"/>
    <col min="11784" max="11784" width="22.7109375" style="859" customWidth="1"/>
    <col min="11785" max="11785" width="19.85546875" style="859" customWidth="1"/>
    <col min="11786" max="11786" width="9.140625" style="859"/>
    <col min="11787" max="11787" width="10.28515625" style="859" bestFit="1" customWidth="1"/>
    <col min="11788" max="11788" width="9.140625" style="859"/>
    <col min="11789" max="11789" width="76.42578125" style="859" customWidth="1"/>
    <col min="11790" max="11790" width="11.7109375" style="859" bestFit="1" customWidth="1"/>
    <col min="11791" max="12032" width="9.140625" style="859"/>
    <col min="12033" max="12033" width="5.5703125" style="859" customWidth="1"/>
    <col min="12034" max="12034" width="33.140625" style="859" customWidth="1"/>
    <col min="12035" max="12035" width="37.5703125" style="859" customWidth="1"/>
    <col min="12036" max="12036" width="18.28515625" style="859" bestFit="1" customWidth="1"/>
    <col min="12037" max="12037" width="17.5703125" style="859" bestFit="1" customWidth="1"/>
    <col min="12038" max="12038" width="16.85546875" style="859" bestFit="1" customWidth="1"/>
    <col min="12039" max="12039" width="12.7109375" style="859" bestFit="1" customWidth="1"/>
    <col min="12040" max="12040" width="22.7109375" style="859" customWidth="1"/>
    <col min="12041" max="12041" width="19.85546875" style="859" customWidth="1"/>
    <col min="12042" max="12042" width="9.140625" style="859"/>
    <col min="12043" max="12043" width="10.28515625" style="859" bestFit="1" customWidth="1"/>
    <col min="12044" max="12044" width="9.140625" style="859"/>
    <col min="12045" max="12045" width="76.42578125" style="859" customWidth="1"/>
    <col min="12046" max="12046" width="11.7109375" style="859" bestFit="1" customWidth="1"/>
    <col min="12047" max="12288" width="9.140625" style="859"/>
    <col min="12289" max="12289" width="5.5703125" style="859" customWidth="1"/>
    <col min="12290" max="12290" width="33.140625" style="859" customWidth="1"/>
    <col min="12291" max="12291" width="37.5703125" style="859" customWidth="1"/>
    <col min="12292" max="12292" width="18.28515625" style="859" bestFit="1" customWidth="1"/>
    <col min="12293" max="12293" width="17.5703125" style="859" bestFit="1" customWidth="1"/>
    <col min="12294" max="12294" width="16.85546875" style="859" bestFit="1" customWidth="1"/>
    <col min="12295" max="12295" width="12.7109375" style="859" bestFit="1" customWidth="1"/>
    <col min="12296" max="12296" width="22.7109375" style="859" customWidth="1"/>
    <col min="12297" max="12297" width="19.85546875" style="859" customWidth="1"/>
    <col min="12298" max="12298" width="9.140625" style="859"/>
    <col min="12299" max="12299" width="10.28515625" style="859" bestFit="1" customWidth="1"/>
    <col min="12300" max="12300" width="9.140625" style="859"/>
    <col min="12301" max="12301" width="76.42578125" style="859" customWidth="1"/>
    <col min="12302" max="12302" width="11.7109375" style="859" bestFit="1" customWidth="1"/>
    <col min="12303" max="12544" width="9.140625" style="859"/>
    <col min="12545" max="12545" width="5.5703125" style="859" customWidth="1"/>
    <col min="12546" max="12546" width="33.140625" style="859" customWidth="1"/>
    <col min="12547" max="12547" width="37.5703125" style="859" customWidth="1"/>
    <col min="12548" max="12548" width="18.28515625" style="859" bestFit="1" customWidth="1"/>
    <col min="12549" max="12549" width="17.5703125" style="859" bestFit="1" customWidth="1"/>
    <col min="12550" max="12550" width="16.85546875" style="859" bestFit="1" customWidth="1"/>
    <col min="12551" max="12551" width="12.7109375" style="859" bestFit="1" customWidth="1"/>
    <col min="12552" max="12552" width="22.7109375" style="859" customWidth="1"/>
    <col min="12553" max="12553" width="19.85546875" style="859" customWidth="1"/>
    <col min="12554" max="12554" width="9.140625" style="859"/>
    <col min="12555" max="12555" width="10.28515625" style="859" bestFit="1" customWidth="1"/>
    <col min="12556" max="12556" width="9.140625" style="859"/>
    <col min="12557" max="12557" width="76.42578125" style="859" customWidth="1"/>
    <col min="12558" max="12558" width="11.7109375" style="859" bestFit="1" customWidth="1"/>
    <col min="12559" max="12800" width="9.140625" style="859"/>
    <col min="12801" max="12801" width="5.5703125" style="859" customWidth="1"/>
    <col min="12802" max="12802" width="33.140625" style="859" customWidth="1"/>
    <col min="12803" max="12803" width="37.5703125" style="859" customWidth="1"/>
    <col min="12804" max="12804" width="18.28515625" style="859" bestFit="1" customWidth="1"/>
    <col min="12805" max="12805" width="17.5703125" style="859" bestFit="1" customWidth="1"/>
    <col min="12806" max="12806" width="16.85546875" style="859" bestFit="1" customWidth="1"/>
    <col min="12807" max="12807" width="12.7109375" style="859" bestFit="1" customWidth="1"/>
    <col min="12808" max="12808" width="22.7109375" style="859" customWidth="1"/>
    <col min="12809" max="12809" width="19.85546875" style="859" customWidth="1"/>
    <col min="12810" max="12810" width="9.140625" style="859"/>
    <col min="12811" max="12811" width="10.28515625" style="859" bestFit="1" customWidth="1"/>
    <col min="12812" max="12812" width="9.140625" style="859"/>
    <col min="12813" max="12813" width="76.42578125" style="859" customWidth="1"/>
    <col min="12814" max="12814" width="11.7109375" style="859" bestFit="1" customWidth="1"/>
    <col min="12815" max="13056" width="9.140625" style="859"/>
    <col min="13057" max="13057" width="5.5703125" style="859" customWidth="1"/>
    <col min="13058" max="13058" width="33.140625" style="859" customWidth="1"/>
    <col min="13059" max="13059" width="37.5703125" style="859" customWidth="1"/>
    <col min="13060" max="13060" width="18.28515625" style="859" bestFit="1" customWidth="1"/>
    <col min="13061" max="13061" width="17.5703125" style="859" bestFit="1" customWidth="1"/>
    <col min="13062" max="13062" width="16.85546875" style="859" bestFit="1" customWidth="1"/>
    <col min="13063" max="13063" width="12.7109375" style="859" bestFit="1" customWidth="1"/>
    <col min="13064" max="13064" width="22.7109375" style="859" customWidth="1"/>
    <col min="13065" max="13065" width="19.85546875" style="859" customWidth="1"/>
    <col min="13066" max="13066" width="9.140625" style="859"/>
    <col min="13067" max="13067" width="10.28515625" style="859" bestFit="1" customWidth="1"/>
    <col min="13068" max="13068" width="9.140625" style="859"/>
    <col min="13069" max="13069" width="76.42578125" style="859" customWidth="1"/>
    <col min="13070" max="13070" width="11.7109375" style="859" bestFit="1" customWidth="1"/>
    <col min="13071" max="13312" width="9.140625" style="859"/>
    <col min="13313" max="13313" width="5.5703125" style="859" customWidth="1"/>
    <col min="13314" max="13314" width="33.140625" style="859" customWidth="1"/>
    <col min="13315" max="13315" width="37.5703125" style="859" customWidth="1"/>
    <col min="13316" max="13316" width="18.28515625" style="859" bestFit="1" customWidth="1"/>
    <col min="13317" max="13317" width="17.5703125" style="859" bestFit="1" customWidth="1"/>
    <col min="13318" max="13318" width="16.85546875" style="859" bestFit="1" customWidth="1"/>
    <col min="13319" max="13319" width="12.7109375" style="859" bestFit="1" customWidth="1"/>
    <col min="13320" max="13320" width="22.7109375" style="859" customWidth="1"/>
    <col min="13321" max="13321" width="19.85546875" style="859" customWidth="1"/>
    <col min="13322" max="13322" width="9.140625" style="859"/>
    <col min="13323" max="13323" width="10.28515625" style="859" bestFit="1" customWidth="1"/>
    <col min="13324" max="13324" width="9.140625" style="859"/>
    <col min="13325" max="13325" width="76.42578125" style="859" customWidth="1"/>
    <col min="13326" max="13326" width="11.7109375" style="859" bestFit="1" customWidth="1"/>
    <col min="13327" max="13568" width="9.140625" style="859"/>
    <col min="13569" max="13569" width="5.5703125" style="859" customWidth="1"/>
    <col min="13570" max="13570" width="33.140625" style="859" customWidth="1"/>
    <col min="13571" max="13571" width="37.5703125" style="859" customWidth="1"/>
    <col min="13572" max="13572" width="18.28515625" style="859" bestFit="1" customWidth="1"/>
    <col min="13573" max="13573" width="17.5703125" style="859" bestFit="1" customWidth="1"/>
    <col min="13574" max="13574" width="16.85546875" style="859" bestFit="1" customWidth="1"/>
    <col min="13575" max="13575" width="12.7109375" style="859" bestFit="1" customWidth="1"/>
    <col min="13576" max="13576" width="22.7109375" style="859" customWidth="1"/>
    <col min="13577" max="13577" width="19.85546875" style="859" customWidth="1"/>
    <col min="13578" max="13578" width="9.140625" style="859"/>
    <col min="13579" max="13579" width="10.28515625" style="859" bestFit="1" customWidth="1"/>
    <col min="13580" max="13580" width="9.140625" style="859"/>
    <col min="13581" max="13581" width="76.42578125" style="859" customWidth="1"/>
    <col min="13582" max="13582" width="11.7109375" style="859" bestFit="1" customWidth="1"/>
    <col min="13583" max="13824" width="9.140625" style="859"/>
    <col min="13825" max="13825" width="5.5703125" style="859" customWidth="1"/>
    <col min="13826" max="13826" width="33.140625" style="859" customWidth="1"/>
    <col min="13827" max="13827" width="37.5703125" style="859" customWidth="1"/>
    <col min="13828" max="13828" width="18.28515625" style="859" bestFit="1" customWidth="1"/>
    <col min="13829" max="13829" width="17.5703125" style="859" bestFit="1" customWidth="1"/>
    <col min="13830" max="13830" width="16.85546875" style="859" bestFit="1" customWidth="1"/>
    <col min="13831" max="13831" width="12.7109375" style="859" bestFit="1" customWidth="1"/>
    <col min="13832" max="13832" width="22.7109375" style="859" customWidth="1"/>
    <col min="13833" max="13833" width="19.85546875" style="859" customWidth="1"/>
    <col min="13834" max="13834" width="9.140625" style="859"/>
    <col min="13835" max="13835" width="10.28515625" style="859" bestFit="1" customWidth="1"/>
    <col min="13836" max="13836" width="9.140625" style="859"/>
    <col min="13837" max="13837" width="76.42578125" style="859" customWidth="1"/>
    <col min="13838" max="13838" width="11.7109375" style="859" bestFit="1" customWidth="1"/>
    <col min="13839" max="14080" width="9.140625" style="859"/>
    <col min="14081" max="14081" width="5.5703125" style="859" customWidth="1"/>
    <col min="14082" max="14082" width="33.140625" style="859" customWidth="1"/>
    <col min="14083" max="14083" width="37.5703125" style="859" customWidth="1"/>
    <col min="14084" max="14084" width="18.28515625" style="859" bestFit="1" customWidth="1"/>
    <col min="14085" max="14085" width="17.5703125" style="859" bestFit="1" customWidth="1"/>
    <col min="14086" max="14086" width="16.85546875" style="859" bestFit="1" customWidth="1"/>
    <col min="14087" max="14087" width="12.7109375" style="859" bestFit="1" customWidth="1"/>
    <col min="14088" max="14088" width="22.7109375" style="859" customWidth="1"/>
    <col min="14089" max="14089" width="19.85546875" style="859" customWidth="1"/>
    <col min="14090" max="14090" width="9.140625" style="859"/>
    <col min="14091" max="14091" width="10.28515625" style="859" bestFit="1" customWidth="1"/>
    <col min="14092" max="14092" width="9.140625" style="859"/>
    <col min="14093" max="14093" width="76.42578125" style="859" customWidth="1"/>
    <col min="14094" max="14094" width="11.7109375" style="859" bestFit="1" customWidth="1"/>
    <col min="14095" max="14336" width="9.140625" style="859"/>
    <col min="14337" max="14337" width="5.5703125" style="859" customWidth="1"/>
    <col min="14338" max="14338" width="33.140625" style="859" customWidth="1"/>
    <col min="14339" max="14339" width="37.5703125" style="859" customWidth="1"/>
    <col min="14340" max="14340" width="18.28515625" style="859" bestFit="1" customWidth="1"/>
    <col min="14341" max="14341" width="17.5703125" style="859" bestFit="1" customWidth="1"/>
    <col min="14342" max="14342" width="16.85546875" style="859" bestFit="1" customWidth="1"/>
    <col min="14343" max="14343" width="12.7109375" style="859" bestFit="1" customWidth="1"/>
    <col min="14344" max="14344" width="22.7109375" style="859" customWidth="1"/>
    <col min="14345" max="14345" width="19.85546875" style="859" customWidth="1"/>
    <col min="14346" max="14346" width="9.140625" style="859"/>
    <col min="14347" max="14347" width="10.28515625" style="859" bestFit="1" customWidth="1"/>
    <col min="14348" max="14348" width="9.140625" style="859"/>
    <col min="14349" max="14349" width="76.42578125" style="859" customWidth="1"/>
    <col min="14350" max="14350" width="11.7109375" style="859" bestFit="1" customWidth="1"/>
    <col min="14351" max="14592" width="9.140625" style="859"/>
    <col min="14593" max="14593" width="5.5703125" style="859" customWidth="1"/>
    <col min="14594" max="14594" width="33.140625" style="859" customWidth="1"/>
    <col min="14595" max="14595" width="37.5703125" style="859" customWidth="1"/>
    <col min="14596" max="14596" width="18.28515625" style="859" bestFit="1" customWidth="1"/>
    <col min="14597" max="14597" width="17.5703125" style="859" bestFit="1" customWidth="1"/>
    <col min="14598" max="14598" width="16.85546875" style="859" bestFit="1" customWidth="1"/>
    <col min="14599" max="14599" width="12.7109375" style="859" bestFit="1" customWidth="1"/>
    <col min="14600" max="14600" width="22.7109375" style="859" customWidth="1"/>
    <col min="14601" max="14601" width="19.85546875" style="859" customWidth="1"/>
    <col min="14602" max="14602" width="9.140625" style="859"/>
    <col min="14603" max="14603" width="10.28515625" style="859" bestFit="1" customWidth="1"/>
    <col min="14604" max="14604" width="9.140625" style="859"/>
    <col min="14605" max="14605" width="76.42578125" style="859" customWidth="1"/>
    <col min="14606" max="14606" width="11.7109375" style="859" bestFit="1" customWidth="1"/>
    <col min="14607" max="14848" width="9.140625" style="859"/>
    <col min="14849" max="14849" width="5.5703125" style="859" customWidth="1"/>
    <col min="14850" max="14850" width="33.140625" style="859" customWidth="1"/>
    <col min="14851" max="14851" width="37.5703125" style="859" customWidth="1"/>
    <col min="14852" max="14852" width="18.28515625" style="859" bestFit="1" customWidth="1"/>
    <col min="14853" max="14853" width="17.5703125" style="859" bestFit="1" customWidth="1"/>
    <col min="14854" max="14854" width="16.85546875" style="859" bestFit="1" customWidth="1"/>
    <col min="14855" max="14855" width="12.7109375" style="859" bestFit="1" customWidth="1"/>
    <col min="14856" max="14856" width="22.7109375" style="859" customWidth="1"/>
    <col min="14857" max="14857" width="19.85546875" style="859" customWidth="1"/>
    <col min="14858" max="14858" width="9.140625" style="859"/>
    <col min="14859" max="14859" width="10.28515625" style="859" bestFit="1" customWidth="1"/>
    <col min="14860" max="14860" width="9.140625" style="859"/>
    <col min="14861" max="14861" width="76.42578125" style="859" customWidth="1"/>
    <col min="14862" max="14862" width="11.7109375" style="859" bestFit="1" customWidth="1"/>
    <col min="14863" max="15104" width="9.140625" style="859"/>
    <col min="15105" max="15105" width="5.5703125" style="859" customWidth="1"/>
    <col min="15106" max="15106" width="33.140625" style="859" customWidth="1"/>
    <col min="15107" max="15107" width="37.5703125" style="859" customWidth="1"/>
    <col min="15108" max="15108" width="18.28515625" style="859" bestFit="1" customWidth="1"/>
    <col min="15109" max="15109" width="17.5703125" style="859" bestFit="1" customWidth="1"/>
    <col min="15110" max="15110" width="16.85546875" style="859" bestFit="1" customWidth="1"/>
    <col min="15111" max="15111" width="12.7109375" style="859" bestFit="1" customWidth="1"/>
    <col min="15112" max="15112" width="22.7109375" style="859" customWidth="1"/>
    <col min="15113" max="15113" width="19.85546875" style="859" customWidth="1"/>
    <col min="15114" max="15114" width="9.140625" style="859"/>
    <col min="15115" max="15115" width="10.28515625" style="859" bestFit="1" customWidth="1"/>
    <col min="15116" max="15116" width="9.140625" style="859"/>
    <col min="15117" max="15117" width="76.42578125" style="859" customWidth="1"/>
    <col min="15118" max="15118" width="11.7109375" style="859" bestFit="1" customWidth="1"/>
    <col min="15119" max="15360" width="9.140625" style="859"/>
    <col min="15361" max="15361" width="5.5703125" style="859" customWidth="1"/>
    <col min="15362" max="15362" width="33.140625" style="859" customWidth="1"/>
    <col min="15363" max="15363" width="37.5703125" style="859" customWidth="1"/>
    <col min="15364" max="15364" width="18.28515625" style="859" bestFit="1" customWidth="1"/>
    <col min="15365" max="15365" width="17.5703125" style="859" bestFit="1" customWidth="1"/>
    <col min="15366" max="15366" width="16.85546875" style="859" bestFit="1" customWidth="1"/>
    <col min="15367" max="15367" width="12.7109375" style="859" bestFit="1" customWidth="1"/>
    <col min="15368" max="15368" width="22.7109375" style="859" customWidth="1"/>
    <col min="15369" max="15369" width="19.85546875" style="859" customWidth="1"/>
    <col min="15370" max="15370" width="9.140625" style="859"/>
    <col min="15371" max="15371" width="10.28515625" style="859" bestFit="1" customWidth="1"/>
    <col min="15372" max="15372" width="9.140625" style="859"/>
    <col min="15373" max="15373" width="76.42578125" style="859" customWidth="1"/>
    <col min="15374" max="15374" width="11.7109375" style="859" bestFit="1" customWidth="1"/>
    <col min="15375" max="15616" width="9.140625" style="859"/>
    <col min="15617" max="15617" width="5.5703125" style="859" customWidth="1"/>
    <col min="15618" max="15618" width="33.140625" style="859" customWidth="1"/>
    <col min="15619" max="15619" width="37.5703125" style="859" customWidth="1"/>
    <col min="15620" max="15620" width="18.28515625" style="859" bestFit="1" customWidth="1"/>
    <col min="15621" max="15621" width="17.5703125" style="859" bestFit="1" customWidth="1"/>
    <col min="15622" max="15622" width="16.85546875" style="859" bestFit="1" customWidth="1"/>
    <col min="15623" max="15623" width="12.7109375" style="859" bestFit="1" customWidth="1"/>
    <col min="15624" max="15624" width="22.7109375" style="859" customWidth="1"/>
    <col min="15625" max="15625" width="19.85546875" style="859" customWidth="1"/>
    <col min="15626" max="15626" width="9.140625" style="859"/>
    <col min="15627" max="15627" width="10.28515625" style="859" bestFit="1" customWidth="1"/>
    <col min="15628" max="15628" width="9.140625" style="859"/>
    <col min="15629" max="15629" width="76.42578125" style="859" customWidth="1"/>
    <col min="15630" max="15630" width="11.7109375" style="859" bestFit="1" customWidth="1"/>
    <col min="15631" max="15872" width="9.140625" style="859"/>
    <col min="15873" max="15873" width="5.5703125" style="859" customWidth="1"/>
    <col min="15874" max="15874" width="33.140625" style="859" customWidth="1"/>
    <col min="15875" max="15875" width="37.5703125" style="859" customWidth="1"/>
    <col min="15876" max="15876" width="18.28515625" style="859" bestFit="1" customWidth="1"/>
    <col min="15877" max="15877" width="17.5703125" style="859" bestFit="1" customWidth="1"/>
    <col min="15878" max="15878" width="16.85546875" style="859" bestFit="1" customWidth="1"/>
    <col min="15879" max="15879" width="12.7109375" style="859" bestFit="1" customWidth="1"/>
    <col min="15880" max="15880" width="22.7109375" style="859" customWidth="1"/>
    <col min="15881" max="15881" width="19.85546875" style="859" customWidth="1"/>
    <col min="15882" max="15882" width="9.140625" style="859"/>
    <col min="15883" max="15883" width="10.28515625" style="859" bestFit="1" customWidth="1"/>
    <col min="15884" max="15884" width="9.140625" style="859"/>
    <col min="15885" max="15885" width="76.42578125" style="859" customWidth="1"/>
    <col min="15886" max="15886" width="11.7109375" style="859" bestFit="1" customWidth="1"/>
    <col min="15887" max="16128" width="9.140625" style="859"/>
    <col min="16129" max="16129" width="5.5703125" style="859" customWidth="1"/>
    <col min="16130" max="16130" width="33.140625" style="859" customWidth="1"/>
    <col min="16131" max="16131" width="37.5703125" style="859" customWidth="1"/>
    <col min="16132" max="16132" width="18.28515625" style="859" bestFit="1" customWidth="1"/>
    <col min="16133" max="16133" width="17.5703125" style="859" bestFit="1" customWidth="1"/>
    <col min="16134" max="16134" width="16.85546875" style="859" bestFit="1" customWidth="1"/>
    <col min="16135" max="16135" width="12.7109375" style="859" bestFit="1" customWidth="1"/>
    <col min="16136" max="16136" width="22.7109375" style="859" customWidth="1"/>
    <col min="16137" max="16137" width="19.85546875" style="859" customWidth="1"/>
    <col min="16138" max="16138" width="9.140625" style="859"/>
    <col min="16139" max="16139" width="10.28515625" style="859" bestFit="1" customWidth="1"/>
    <col min="16140" max="16140" width="9.140625" style="859"/>
    <col min="16141" max="16141" width="76.42578125" style="859" customWidth="1"/>
    <col min="16142" max="16142" width="11.7109375" style="859" bestFit="1" customWidth="1"/>
    <col min="16143" max="16384" width="9.140625" style="859"/>
  </cols>
  <sheetData>
    <row r="1" spans="1:13">
      <c r="A1" s="858"/>
      <c r="F1" s="859"/>
      <c r="G1" s="859"/>
      <c r="H1" s="862" t="s">
        <v>907</v>
      </c>
      <c r="I1" s="863"/>
    </row>
    <row r="2" spans="1:13">
      <c r="A2" s="858"/>
      <c r="F2" s="864"/>
      <c r="G2" s="864"/>
      <c r="H2" s="865"/>
      <c r="I2" s="865"/>
    </row>
    <row r="3" spans="1:13">
      <c r="A3" s="1103" t="s">
        <v>908</v>
      </c>
      <c r="B3" s="1103"/>
      <c r="C3" s="1103"/>
      <c r="D3" s="1103"/>
      <c r="E3" s="1103"/>
      <c r="F3" s="1103"/>
      <c r="G3" s="1103"/>
      <c r="H3" s="1103"/>
      <c r="I3" s="866"/>
    </row>
    <row r="4" spans="1:13">
      <c r="A4" s="1104" t="s">
        <v>1091</v>
      </c>
      <c r="B4" s="1104"/>
      <c r="C4" s="1104"/>
      <c r="D4" s="1104"/>
      <c r="E4" s="1104"/>
      <c r="F4" s="1104"/>
      <c r="G4" s="1104"/>
      <c r="H4" s="1104"/>
      <c r="I4" s="867"/>
    </row>
    <row r="5" spans="1:13" hidden="1">
      <c r="A5" s="1105"/>
      <c r="B5" s="1105"/>
      <c r="C5" s="1105"/>
      <c r="D5" s="1105"/>
      <c r="E5" s="1105"/>
      <c r="F5" s="1105"/>
      <c r="G5" s="1105"/>
      <c r="H5" s="1105"/>
      <c r="I5" s="868"/>
    </row>
    <row r="6" spans="1:13">
      <c r="A6" s="868"/>
      <c r="B6" s="868"/>
      <c r="C6" s="869"/>
      <c r="D6" s="870"/>
      <c r="E6" s="859"/>
      <c r="F6" s="1106" t="s">
        <v>909</v>
      </c>
      <c r="G6" s="1106"/>
      <c r="H6" s="1106"/>
      <c r="I6" s="871"/>
    </row>
    <row r="7" spans="1:13" ht="47.25">
      <c r="A7" s="872" t="s">
        <v>0</v>
      </c>
      <c r="B7" s="872" t="s">
        <v>519</v>
      </c>
      <c r="C7" s="872" t="s">
        <v>122</v>
      </c>
      <c r="D7" s="872" t="s">
        <v>780</v>
      </c>
      <c r="E7" s="872" t="s">
        <v>521</v>
      </c>
      <c r="F7" s="872" t="s">
        <v>522</v>
      </c>
      <c r="G7" s="872" t="s">
        <v>523</v>
      </c>
      <c r="H7" s="872" t="s">
        <v>910</v>
      </c>
      <c r="I7" s="873"/>
    </row>
    <row r="8" spans="1:13">
      <c r="A8" s="1107" t="s">
        <v>911</v>
      </c>
      <c r="B8" s="1107"/>
      <c r="C8" s="1107"/>
      <c r="D8" s="874">
        <f>D9+D20+D71+D109</f>
        <v>791658559830.1604</v>
      </c>
      <c r="E8" s="874">
        <f>E9+E20+E71+E109</f>
        <v>725695592766.47632</v>
      </c>
      <c r="F8" s="874">
        <f>F9+F20+F71+F109</f>
        <v>65962966864.68409</v>
      </c>
      <c r="G8" s="875">
        <f>+E8/D8</f>
        <v>0.91667750415300819</v>
      </c>
      <c r="H8" s="876"/>
      <c r="I8" s="877"/>
      <c r="J8" s="878"/>
      <c r="K8" s="879"/>
      <c r="L8" s="880"/>
    </row>
    <row r="9" spans="1:13" s="889" customFormat="1">
      <c r="A9" s="881" t="s">
        <v>4</v>
      </c>
      <c r="B9" s="882" t="s">
        <v>783</v>
      </c>
      <c r="C9" s="882"/>
      <c r="D9" s="883">
        <f>D10+D17</f>
        <v>40107060473.160355</v>
      </c>
      <c r="E9" s="883">
        <f>E10+E17</f>
        <v>16289093608.476267</v>
      </c>
      <c r="F9" s="883">
        <f>F10+F17</f>
        <v>23817966864.68409</v>
      </c>
      <c r="G9" s="884">
        <f>+E9/D9</f>
        <v>0.40614030089233111</v>
      </c>
      <c r="H9" s="885"/>
      <c r="I9" s="873"/>
      <c r="J9" s="886"/>
      <c r="K9" s="887"/>
      <c r="L9" s="888"/>
    </row>
    <row r="10" spans="1:13" ht="31.5">
      <c r="A10" s="890" t="s">
        <v>6</v>
      </c>
      <c r="B10" s="891" t="s">
        <v>912</v>
      </c>
      <c r="C10" s="892"/>
      <c r="D10" s="893">
        <f>SUM(D11:D16)</f>
        <v>39750860473.160355</v>
      </c>
      <c r="E10" s="893">
        <f>SUM(E11:E16)</f>
        <v>15932893608.476267</v>
      </c>
      <c r="F10" s="894">
        <f>SUM(F11:F16)</f>
        <v>23817966864.68409</v>
      </c>
      <c r="G10" s="895">
        <f>+E10/D10</f>
        <v>0.40081883558807746</v>
      </c>
      <c r="H10" s="896"/>
      <c r="I10" s="897"/>
      <c r="J10" s="878"/>
      <c r="K10" s="879"/>
      <c r="L10" s="880"/>
    </row>
    <row r="11" spans="1:13" ht="24" customHeight="1">
      <c r="A11" s="890">
        <v>1</v>
      </c>
      <c r="B11" s="891" t="s">
        <v>530</v>
      </c>
      <c r="C11" s="898"/>
      <c r="D11" s="894">
        <f>'[6]Cuc Thue_Tăng thu'!F53</f>
        <v>1312693064.7090909</v>
      </c>
      <c r="E11" s="894">
        <f>+'[6]Cuc Thue_Tăng thu'!G53</f>
        <v>1312693065</v>
      </c>
      <c r="F11" s="894">
        <f t="shared" ref="F11:F16" si="0">D11-E11</f>
        <v>-0.2909090518951416</v>
      </c>
      <c r="G11" s="895">
        <f t="shared" ref="G11:G74" si="1">+E11/D11</f>
        <v>1.0000000002216123</v>
      </c>
      <c r="H11" s="1102" t="s">
        <v>913</v>
      </c>
      <c r="I11" s="899"/>
      <c r="J11" s="878"/>
      <c r="K11" s="879"/>
      <c r="L11" s="880"/>
    </row>
    <row r="12" spans="1:13" ht="27.75" customHeight="1">
      <c r="A12" s="890">
        <v>2</v>
      </c>
      <c r="B12" s="891" t="s">
        <v>532</v>
      </c>
      <c r="C12" s="898"/>
      <c r="D12" s="894">
        <f>'[6]Cuc Thue_Tăng thu'!I53</f>
        <v>27729976911.451263</v>
      </c>
      <c r="E12" s="894">
        <f>'[6]Cuc Thue_Tăng thu'!J53</f>
        <v>3912010046.4762664</v>
      </c>
      <c r="F12" s="894">
        <f t="shared" si="0"/>
        <v>23817966864.974998</v>
      </c>
      <c r="G12" s="895">
        <f t="shared" si="1"/>
        <v>0.14107512815348858</v>
      </c>
      <c r="H12" s="1102"/>
      <c r="I12" s="899"/>
      <c r="J12" s="878"/>
      <c r="K12" s="879"/>
      <c r="L12" s="880"/>
      <c r="M12" s="880"/>
    </row>
    <row r="13" spans="1:13" hidden="1">
      <c r="A13" s="890">
        <v>3</v>
      </c>
      <c r="B13" s="891" t="s">
        <v>534</v>
      </c>
      <c r="C13" s="898"/>
      <c r="D13" s="894">
        <f>'[6]Cuc Thue_Tăng thu'!L53</f>
        <v>1171602332</v>
      </c>
      <c r="E13" s="894">
        <f>'[6]Cuc Thue_Tăng thu'!M53</f>
        <v>1171602332</v>
      </c>
      <c r="F13" s="894">
        <f t="shared" si="0"/>
        <v>0</v>
      </c>
      <c r="G13" s="895">
        <f t="shared" si="1"/>
        <v>1</v>
      </c>
      <c r="H13" s="896"/>
      <c r="I13" s="899"/>
      <c r="J13" s="878"/>
      <c r="K13" s="879"/>
      <c r="L13" s="880"/>
      <c r="M13" s="880"/>
    </row>
    <row r="14" spans="1:13" ht="24" hidden="1" customHeight="1">
      <c r="A14" s="890">
        <v>4</v>
      </c>
      <c r="B14" s="891" t="s">
        <v>914</v>
      </c>
      <c r="C14" s="898"/>
      <c r="D14" s="894">
        <f>'[6]Cuc Thue_Tăng thu'!O53</f>
        <v>33737800</v>
      </c>
      <c r="E14" s="894">
        <f>'[6]Cuc Thue_Tăng thu'!P53</f>
        <v>33737800</v>
      </c>
      <c r="F14" s="894">
        <f t="shared" si="0"/>
        <v>0</v>
      </c>
      <c r="G14" s="895">
        <f t="shared" si="1"/>
        <v>1</v>
      </c>
      <c r="H14" s="896"/>
      <c r="I14" s="899"/>
      <c r="J14" s="878"/>
      <c r="K14" s="879"/>
      <c r="L14" s="880"/>
      <c r="M14" s="880"/>
    </row>
    <row r="15" spans="1:13" ht="24" hidden="1" customHeight="1">
      <c r="A15" s="890">
        <v>5</v>
      </c>
      <c r="B15" s="891" t="s">
        <v>915</v>
      </c>
      <c r="C15" s="898"/>
      <c r="D15" s="894">
        <f>'[6]Cuc Thue_Tăng thu'!R53</f>
        <v>1734838683</v>
      </c>
      <c r="E15" s="894">
        <f>'[6]Cuc Thue_Tăng thu'!S53</f>
        <v>1734838683</v>
      </c>
      <c r="F15" s="894">
        <f t="shared" si="0"/>
        <v>0</v>
      </c>
      <c r="G15" s="895">
        <f t="shared" si="1"/>
        <v>1</v>
      </c>
      <c r="H15" s="896"/>
      <c r="I15" s="899"/>
      <c r="J15" s="878"/>
      <c r="K15" s="879"/>
      <c r="L15" s="880"/>
      <c r="M15" s="880"/>
    </row>
    <row r="16" spans="1:13" ht="24.75" hidden="1" customHeight="1">
      <c r="A16" s="890">
        <v>6</v>
      </c>
      <c r="B16" s="891" t="s">
        <v>119</v>
      </c>
      <c r="C16" s="898"/>
      <c r="D16" s="894">
        <f>'[6]Cuc Thue_Tăng thu'!U53</f>
        <v>7768011682</v>
      </c>
      <c r="E16" s="894">
        <f>'[6]Cuc Thue_Tăng thu'!V53</f>
        <v>7768011682</v>
      </c>
      <c r="F16" s="894">
        <f t="shared" si="0"/>
        <v>0</v>
      </c>
      <c r="G16" s="895">
        <f t="shared" si="1"/>
        <v>1</v>
      </c>
      <c r="H16" s="896"/>
      <c r="I16" s="899"/>
      <c r="J16" s="878"/>
      <c r="K16" s="879"/>
      <c r="L16" s="880"/>
      <c r="M16" s="880"/>
    </row>
    <row r="17" spans="1:13" ht="22.5" customHeight="1">
      <c r="A17" s="890" t="s">
        <v>46</v>
      </c>
      <c r="B17" s="891" t="s">
        <v>537</v>
      </c>
      <c r="C17" s="898"/>
      <c r="D17" s="894">
        <f t="shared" ref="D17:F18" si="2">D18</f>
        <v>356200000</v>
      </c>
      <c r="E17" s="894">
        <f t="shared" si="2"/>
        <v>356200000</v>
      </c>
      <c r="F17" s="894">
        <f t="shared" si="2"/>
        <v>0</v>
      </c>
      <c r="G17" s="895">
        <f t="shared" si="1"/>
        <v>1</v>
      </c>
      <c r="H17" s="896"/>
      <c r="I17" s="900"/>
      <c r="J17" s="878"/>
      <c r="K17" s="879"/>
      <c r="L17" s="880"/>
    </row>
    <row r="18" spans="1:13" s="889" customFormat="1" ht="31.5" hidden="1">
      <c r="A18" s="890">
        <v>1</v>
      </c>
      <c r="B18" s="891" t="s">
        <v>814</v>
      </c>
      <c r="C18" s="898"/>
      <c r="D18" s="894">
        <f t="shared" si="2"/>
        <v>356200000</v>
      </c>
      <c r="E18" s="894">
        <f t="shared" si="2"/>
        <v>356200000</v>
      </c>
      <c r="F18" s="894">
        <f t="shared" si="2"/>
        <v>0</v>
      </c>
      <c r="G18" s="895">
        <f t="shared" si="1"/>
        <v>1</v>
      </c>
      <c r="H18" s="896"/>
      <c r="I18" s="900"/>
      <c r="J18" s="878"/>
      <c r="K18" s="879"/>
      <c r="L18" s="880"/>
    </row>
    <row r="19" spans="1:13" ht="52.9" hidden="1" customHeight="1">
      <c r="A19" s="890"/>
      <c r="B19" s="901" t="s">
        <v>332</v>
      </c>
      <c r="C19" s="898" t="s">
        <v>916</v>
      </c>
      <c r="D19" s="894">
        <v>356200000</v>
      </c>
      <c r="E19" s="894">
        <v>356200000</v>
      </c>
      <c r="F19" s="894">
        <f>D19-E19</f>
        <v>0</v>
      </c>
      <c r="G19" s="895">
        <f t="shared" si="1"/>
        <v>1</v>
      </c>
      <c r="H19" s="896"/>
      <c r="I19" s="900"/>
      <c r="J19" s="878"/>
      <c r="K19" s="879"/>
      <c r="L19" s="880"/>
    </row>
    <row r="20" spans="1:13" s="889" customFormat="1" ht="31.5">
      <c r="A20" s="902" t="s">
        <v>90</v>
      </c>
      <c r="B20" s="903" t="s">
        <v>540</v>
      </c>
      <c r="C20" s="904"/>
      <c r="D20" s="905">
        <f>D21+D34+D52</f>
        <v>20241531868</v>
      </c>
      <c r="E20" s="905">
        <f>E21+E34+E52</f>
        <v>20241531669</v>
      </c>
      <c r="F20" s="905">
        <f>F21+F34+F52</f>
        <v>0</v>
      </c>
      <c r="G20" s="884">
        <f t="shared" si="1"/>
        <v>0.99999999016872831</v>
      </c>
      <c r="H20" s="885"/>
      <c r="I20" s="873"/>
      <c r="J20" s="886"/>
      <c r="K20" s="887"/>
      <c r="L20" s="888"/>
    </row>
    <row r="21" spans="1:13" ht="31.5" hidden="1">
      <c r="A21" s="890">
        <v>1</v>
      </c>
      <c r="B21" s="891" t="s">
        <v>755</v>
      </c>
      <c r="C21" s="906"/>
      <c r="D21" s="907">
        <f>D22+D23</f>
        <v>964720704</v>
      </c>
      <c r="E21" s="907">
        <f>E22+E23</f>
        <v>964720704</v>
      </c>
      <c r="F21" s="907">
        <f>F22+F23</f>
        <v>0</v>
      </c>
      <c r="G21" s="895">
        <f t="shared" si="1"/>
        <v>1</v>
      </c>
      <c r="H21" s="885"/>
      <c r="I21" s="873"/>
      <c r="J21" s="878"/>
      <c r="K21" s="879"/>
      <c r="L21" s="880"/>
      <c r="M21" s="908"/>
    </row>
    <row r="22" spans="1:13" hidden="1">
      <c r="A22" s="890" t="s">
        <v>559</v>
      </c>
      <c r="B22" s="891" t="s">
        <v>792</v>
      </c>
      <c r="C22" s="906"/>
      <c r="D22" s="907"/>
      <c r="E22" s="907"/>
      <c r="F22" s="907">
        <f>D22-E22</f>
        <v>0</v>
      </c>
      <c r="G22" s="895"/>
      <c r="H22" s="885"/>
      <c r="I22" s="873"/>
      <c r="J22" s="878"/>
      <c r="K22" s="879"/>
      <c r="L22" s="880"/>
    </row>
    <row r="23" spans="1:13" hidden="1">
      <c r="A23" s="890" t="s">
        <v>562</v>
      </c>
      <c r="B23" s="891" t="s">
        <v>793</v>
      </c>
      <c r="C23" s="906"/>
      <c r="D23" s="907">
        <f>D24+D26+D29</f>
        <v>964720704</v>
      </c>
      <c r="E23" s="907">
        <f>E24+E26+E29</f>
        <v>964720704</v>
      </c>
      <c r="F23" s="907">
        <f>F24+F26+F29</f>
        <v>0</v>
      </c>
      <c r="G23" s="895">
        <f t="shared" si="1"/>
        <v>1</v>
      </c>
      <c r="H23" s="885"/>
      <c r="I23" s="873"/>
      <c r="J23" s="878"/>
      <c r="K23" s="879"/>
      <c r="L23" s="880"/>
    </row>
    <row r="24" spans="1:13" hidden="1">
      <c r="A24" s="890" t="s">
        <v>794</v>
      </c>
      <c r="B24" s="891" t="s">
        <v>831</v>
      </c>
      <c r="C24" s="906"/>
      <c r="D24" s="907">
        <f>D25</f>
        <v>108303013</v>
      </c>
      <c r="E24" s="907">
        <f>E25</f>
        <v>108303013</v>
      </c>
      <c r="F24" s="907">
        <f>F25</f>
        <v>0</v>
      </c>
      <c r="G24" s="895">
        <f t="shared" si="1"/>
        <v>1</v>
      </c>
      <c r="H24" s="885"/>
      <c r="I24" s="873"/>
      <c r="J24" s="878"/>
      <c r="K24" s="879"/>
      <c r="L24" s="880"/>
    </row>
    <row r="25" spans="1:13" ht="66" hidden="1" customHeight="1">
      <c r="A25" s="890"/>
      <c r="B25" s="891" t="s">
        <v>917</v>
      </c>
      <c r="C25" s="898" t="s">
        <v>918</v>
      </c>
      <c r="D25" s="894">
        <v>108303013</v>
      </c>
      <c r="E25" s="894">
        <v>108303013</v>
      </c>
      <c r="F25" s="894">
        <f>D25-E25</f>
        <v>0</v>
      </c>
      <c r="G25" s="895">
        <f t="shared" si="1"/>
        <v>1</v>
      </c>
      <c r="H25" s="896"/>
      <c r="I25" s="900"/>
      <c r="J25" s="878"/>
      <c r="K25" s="879"/>
      <c r="L25" s="880"/>
    </row>
    <row r="26" spans="1:13" hidden="1">
      <c r="A26" s="890" t="s">
        <v>800</v>
      </c>
      <c r="B26" s="891" t="s">
        <v>919</v>
      </c>
      <c r="C26" s="898"/>
      <c r="D26" s="894">
        <f>SUM(D27:D28)</f>
        <v>755186699</v>
      </c>
      <c r="E26" s="894">
        <f>SUM(E27:E28)</f>
        <v>755186699</v>
      </c>
      <c r="F26" s="894">
        <f>SUM(F27:F28)</f>
        <v>0</v>
      </c>
      <c r="G26" s="895">
        <f t="shared" si="1"/>
        <v>1</v>
      </c>
      <c r="H26" s="896"/>
      <c r="I26" s="900"/>
      <c r="J26" s="878"/>
      <c r="K26" s="879"/>
      <c r="L26" s="880"/>
    </row>
    <row r="27" spans="1:13" ht="31.5" hidden="1">
      <c r="A27" s="890"/>
      <c r="B27" s="901" t="s">
        <v>920</v>
      </c>
      <c r="C27" s="898"/>
      <c r="D27" s="894">
        <v>454498815</v>
      </c>
      <c r="E27" s="894">
        <f>372017796+82480820+199</f>
        <v>454498815</v>
      </c>
      <c r="F27" s="894">
        <f t="shared" ref="F27:F68" si="3">D27-E27</f>
        <v>0</v>
      </c>
      <c r="G27" s="895">
        <f t="shared" si="1"/>
        <v>1</v>
      </c>
      <c r="H27" s="896"/>
      <c r="I27" s="900"/>
      <c r="J27" s="878"/>
      <c r="K27" s="879"/>
      <c r="L27" s="880"/>
    </row>
    <row r="28" spans="1:13" ht="31.5" hidden="1">
      <c r="A28" s="909"/>
      <c r="B28" s="910" t="s">
        <v>921</v>
      </c>
      <c r="C28" s="911"/>
      <c r="D28" s="912">
        <v>300687884</v>
      </c>
      <c r="E28" s="912">
        <f>D28</f>
        <v>300687884</v>
      </c>
      <c r="F28" s="912">
        <f t="shared" si="3"/>
        <v>0</v>
      </c>
      <c r="G28" s="913">
        <f t="shared" si="1"/>
        <v>1</v>
      </c>
      <c r="H28" s="914"/>
      <c r="I28" s="900"/>
      <c r="J28" s="878"/>
      <c r="K28" s="879"/>
      <c r="L28" s="880"/>
    </row>
    <row r="29" spans="1:13" hidden="1">
      <c r="A29" s="915" t="s">
        <v>802</v>
      </c>
      <c r="B29" s="916" t="s">
        <v>922</v>
      </c>
      <c r="C29" s="917"/>
      <c r="D29" s="918">
        <f>D30+D32</f>
        <v>101230992</v>
      </c>
      <c r="E29" s="918">
        <f>E30+E32</f>
        <v>101230992</v>
      </c>
      <c r="F29" s="918">
        <f>F30+F32</f>
        <v>0</v>
      </c>
      <c r="G29" s="919">
        <f t="shared" si="1"/>
        <v>1</v>
      </c>
      <c r="H29" s="920"/>
      <c r="I29" s="900"/>
      <c r="J29" s="878"/>
      <c r="K29" s="879"/>
      <c r="L29" s="880"/>
    </row>
    <row r="30" spans="1:13" hidden="1">
      <c r="A30" s="890"/>
      <c r="B30" s="891" t="s">
        <v>923</v>
      </c>
      <c r="C30" s="898"/>
      <c r="D30" s="894">
        <f>D31</f>
        <v>38817000</v>
      </c>
      <c r="E30" s="894">
        <f>E31</f>
        <v>38817000</v>
      </c>
      <c r="F30" s="894">
        <f t="shared" si="3"/>
        <v>0</v>
      </c>
      <c r="G30" s="895">
        <f t="shared" si="1"/>
        <v>1</v>
      </c>
      <c r="H30" s="896"/>
      <c r="I30" s="900"/>
      <c r="J30" s="878"/>
      <c r="K30" s="879"/>
      <c r="L30" s="880"/>
    </row>
    <row r="31" spans="1:13" ht="47.25" hidden="1">
      <c r="A31" s="890"/>
      <c r="B31" s="901" t="s">
        <v>924</v>
      </c>
      <c r="C31" s="898" t="s">
        <v>925</v>
      </c>
      <c r="D31" s="894">
        <v>38817000</v>
      </c>
      <c r="E31" s="894">
        <f>D31</f>
        <v>38817000</v>
      </c>
      <c r="F31" s="894">
        <f t="shared" si="3"/>
        <v>0</v>
      </c>
      <c r="G31" s="895">
        <f t="shared" si="1"/>
        <v>1</v>
      </c>
      <c r="H31" s="896"/>
      <c r="I31" s="900"/>
      <c r="J31" s="878"/>
      <c r="K31" s="879"/>
      <c r="L31" s="880"/>
    </row>
    <row r="32" spans="1:13" hidden="1">
      <c r="A32" s="890"/>
      <c r="B32" s="891" t="s">
        <v>926</v>
      </c>
      <c r="C32" s="898"/>
      <c r="D32" s="894">
        <f>+D33</f>
        <v>62413992</v>
      </c>
      <c r="E32" s="894">
        <f>+E33</f>
        <v>62413992</v>
      </c>
      <c r="F32" s="894">
        <f>+F33</f>
        <v>0</v>
      </c>
      <c r="G32" s="895">
        <f t="shared" si="1"/>
        <v>1</v>
      </c>
      <c r="H32" s="896"/>
      <c r="I32" s="900"/>
      <c r="J32" s="878"/>
      <c r="K32" s="879"/>
      <c r="L32" s="880"/>
    </row>
    <row r="33" spans="1:12" ht="48.6" hidden="1" customHeight="1">
      <c r="A33" s="890"/>
      <c r="B33" s="901" t="s">
        <v>927</v>
      </c>
      <c r="C33" s="898" t="s">
        <v>928</v>
      </c>
      <c r="D33" s="894">
        <v>62413992</v>
      </c>
      <c r="E33" s="894">
        <v>62413992</v>
      </c>
      <c r="F33" s="894">
        <f t="shared" si="3"/>
        <v>0</v>
      </c>
      <c r="G33" s="895">
        <f t="shared" si="1"/>
        <v>1</v>
      </c>
      <c r="H33" s="896"/>
      <c r="I33" s="900"/>
      <c r="J33" s="878"/>
      <c r="K33" s="879"/>
      <c r="L33" s="880"/>
    </row>
    <row r="34" spans="1:12" hidden="1">
      <c r="A34" s="890">
        <v>2</v>
      </c>
      <c r="B34" s="891" t="s">
        <v>929</v>
      </c>
      <c r="C34" s="898"/>
      <c r="D34" s="894">
        <f>D35+D39</f>
        <v>8471683058</v>
      </c>
      <c r="E34" s="894">
        <f>E35+E39</f>
        <v>8471683058</v>
      </c>
      <c r="F34" s="894">
        <f>F35+F39</f>
        <v>0</v>
      </c>
      <c r="G34" s="895">
        <f t="shared" si="1"/>
        <v>1</v>
      </c>
      <c r="H34" s="896"/>
      <c r="I34" s="900"/>
      <c r="J34" s="878"/>
      <c r="K34" s="879"/>
      <c r="L34" s="880"/>
    </row>
    <row r="35" spans="1:12" hidden="1">
      <c r="A35" s="890" t="s">
        <v>559</v>
      </c>
      <c r="B35" s="891" t="s">
        <v>930</v>
      </c>
      <c r="C35" s="898"/>
      <c r="D35" s="894">
        <f>SUM(D36:D38)</f>
        <v>1407855400</v>
      </c>
      <c r="E35" s="894">
        <f>SUM(E36:E38)</f>
        <v>1407855400</v>
      </c>
      <c r="F35" s="894">
        <f>SUM(F36:F38)</f>
        <v>0</v>
      </c>
      <c r="G35" s="895">
        <f t="shared" si="1"/>
        <v>1</v>
      </c>
      <c r="H35" s="896"/>
      <c r="I35" s="900"/>
      <c r="J35" s="878"/>
      <c r="K35" s="879"/>
      <c r="L35" s="880"/>
    </row>
    <row r="36" spans="1:12" ht="84.6" hidden="1" customHeight="1">
      <c r="A36" s="890"/>
      <c r="B36" s="901" t="s">
        <v>332</v>
      </c>
      <c r="C36" s="898" t="s">
        <v>931</v>
      </c>
      <c r="D36" s="894">
        <v>716055400</v>
      </c>
      <c r="E36" s="894">
        <f>D36</f>
        <v>716055400</v>
      </c>
      <c r="F36" s="894">
        <f t="shared" si="3"/>
        <v>0</v>
      </c>
      <c r="G36" s="895">
        <f t="shared" si="1"/>
        <v>1</v>
      </c>
      <c r="H36" s="896"/>
      <c r="I36" s="900"/>
      <c r="J36" s="878"/>
      <c r="K36" s="879"/>
      <c r="L36" s="880"/>
    </row>
    <row r="37" spans="1:12" ht="48.6" hidden="1" customHeight="1">
      <c r="A37" s="890"/>
      <c r="B37" s="901" t="s">
        <v>327</v>
      </c>
      <c r="C37" s="898" t="s">
        <v>932</v>
      </c>
      <c r="D37" s="894">
        <v>526400000</v>
      </c>
      <c r="E37" s="894">
        <f>D37</f>
        <v>526400000</v>
      </c>
      <c r="F37" s="894">
        <f t="shared" si="3"/>
        <v>0</v>
      </c>
      <c r="G37" s="895">
        <f t="shared" si="1"/>
        <v>1</v>
      </c>
      <c r="H37" s="896"/>
      <c r="I37" s="900"/>
      <c r="J37" s="878"/>
      <c r="K37" s="879"/>
      <c r="L37" s="880"/>
    </row>
    <row r="38" spans="1:12" ht="31.5" hidden="1">
      <c r="A38" s="890"/>
      <c r="B38" s="901" t="s">
        <v>902</v>
      </c>
      <c r="C38" s="898" t="s">
        <v>933</v>
      </c>
      <c r="D38" s="894">
        <v>165400000</v>
      </c>
      <c r="E38" s="894">
        <f>D38</f>
        <v>165400000</v>
      </c>
      <c r="F38" s="894">
        <f t="shared" si="3"/>
        <v>0</v>
      </c>
      <c r="G38" s="895">
        <f t="shared" si="1"/>
        <v>1</v>
      </c>
      <c r="H38" s="896"/>
      <c r="I38" s="900"/>
      <c r="J38" s="878"/>
      <c r="K38" s="879"/>
      <c r="L38" s="880"/>
    </row>
    <row r="39" spans="1:12" hidden="1">
      <c r="A39" s="890" t="s">
        <v>934</v>
      </c>
      <c r="B39" s="891" t="s">
        <v>505</v>
      </c>
      <c r="C39" s="898"/>
      <c r="D39" s="894">
        <f>D40+D41+D42+D45+D50+D51</f>
        <v>7063827658</v>
      </c>
      <c r="E39" s="894">
        <f>E40+E41+E42+E45+E50+E51</f>
        <v>7063827658</v>
      </c>
      <c r="F39" s="894">
        <f>F40+F41+F42+F45+F50+F51</f>
        <v>0</v>
      </c>
      <c r="G39" s="895">
        <f t="shared" si="1"/>
        <v>1</v>
      </c>
      <c r="H39" s="896"/>
      <c r="I39" s="900"/>
      <c r="J39" s="878"/>
      <c r="K39" s="879"/>
      <c r="L39" s="880"/>
    </row>
    <row r="40" spans="1:12" ht="45.6" hidden="1" customHeight="1">
      <c r="A40" s="890"/>
      <c r="B40" s="901" t="s">
        <v>935</v>
      </c>
      <c r="C40" s="898" t="s">
        <v>936</v>
      </c>
      <c r="D40" s="894">
        <v>50000000</v>
      </c>
      <c r="E40" s="894">
        <v>50000000</v>
      </c>
      <c r="F40" s="894">
        <f t="shared" si="3"/>
        <v>0</v>
      </c>
      <c r="G40" s="895">
        <f t="shared" si="1"/>
        <v>1</v>
      </c>
      <c r="H40" s="896"/>
      <c r="I40" s="900"/>
      <c r="J40" s="878"/>
      <c r="K40" s="879"/>
      <c r="L40" s="880"/>
    </row>
    <row r="41" spans="1:12" ht="47.25" hidden="1">
      <c r="A41" s="890"/>
      <c r="B41" s="901" t="s">
        <v>937</v>
      </c>
      <c r="C41" s="898" t="s">
        <v>938</v>
      </c>
      <c r="D41" s="894">
        <v>137707375</v>
      </c>
      <c r="E41" s="894">
        <f>D41</f>
        <v>137707375</v>
      </c>
      <c r="F41" s="894">
        <f t="shared" si="3"/>
        <v>0</v>
      </c>
      <c r="G41" s="895">
        <f t="shared" si="1"/>
        <v>1</v>
      </c>
      <c r="H41" s="896"/>
      <c r="I41" s="900"/>
      <c r="J41" s="878"/>
      <c r="K41" s="879"/>
      <c r="L41" s="880"/>
    </row>
    <row r="42" spans="1:12" hidden="1">
      <c r="A42" s="890"/>
      <c r="B42" s="901" t="s">
        <v>939</v>
      </c>
      <c r="C42" s="898"/>
      <c r="D42" s="894">
        <f>D43+D44</f>
        <v>2961498000</v>
      </c>
      <c r="E42" s="894">
        <f>E43+E44</f>
        <v>2961498000</v>
      </c>
      <c r="F42" s="894">
        <f t="shared" si="3"/>
        <v>0</v>
      </c>
      <c r="G42" s="895">
        <f t="shared" si="1"/>
        <v>1</v>
      </c>
      <c r="H42" s="896"/>
      <c r="I42" s="900"/>
      <c r="J42" s="878"/>
      <c r="K42" s="879"/>
      <c r="L42" s="880"/>
    </row>
    <row r="43" spans="1:12" ht="31.5" hidden="1">
      <c r="A43" s="890"/>
      <c r="B43" s="901" t="s">
        <v>940</v>
      </c>
      <c r="C43" s="898" t="s">
        <v>941</v>
      </c>
      <c r="D43" s="894">
        <v>2946498000</v>
      </c>
      <c r="E43" s="894">
        <f>D43</f>
        <v>2946498000</v>
      </c>
      <c r="F43" s="894">
        <f t="shared" si="3"/>
        <v>0</v>
      </c>
      <c r="G43" s="895">
        <f t="shared" si="1"/>
        <v>1</v>
      </c>
      <c r="H43" s="896"/>
      <c r="I43" s="900"/>
      <c r="J43" s="878"/>
      <c r="K43" s="879"/>
      <c r="L43" s="880"/>
    </row>
    <row r="44" spans="1:12" ht="31.5" hidden="1">
      <c r="A44" s="890"/>
      <c r="B44" s="901" t="s">
        <v>942</v>
      </c>
      <c r="C44" s="898" t="s">
        <v>941</v>
      </c>
      <c r="D44" s="894">
        <v>15000000</v>
      </c>
      <c r="E44" s="894">
        <f>D44</f>
        <v>15000000</v>
      </c>
      <c r="F44" s="894">
        <f t="shared" si="3"/>
        <v>0</v>
      </c>
      <c r="G44" s="895">
        <f t="shared" si="1"/>
        <v>1</v>
      </c>
      <c r="H44" s="896"/>
      <c r="I44" s="900"/>
      <c r="J44" s="878"/>
      <c r="K44" s="879"/>
      <c r="L44" s="880"/>
    </row>
    <row r="45" spans="1:12" hidden="1">
      <c r="A45" s="890"/>
      <c r="B45" s="901" t="s">
        <v>943</v>
      </c>
      <c r="C45" s="898"/>
      <c r="D45" s="894">
        <f>SUM(D46:D49)</f>
        <v>3568171330</v>
      </c>
      <c r="E45" s="894">
        <f>SUM(E46:E49)</f>
        <v>3568171330</v>
      </c>
      <c r="F45" s="894">
        <f t="shared" si="3"/>
        <v>0</v>
      </c>
      <c r="G45" s="895">
        <f t="shared" si="1"/>
        <v>1</v>
      </c>
      <c r="H45" s="896"/>
      <c r="I45" s="900"/>
      <c r="J45" s="878"/>
      <c r="K45" s="879"/>
      <c r="L45" s="880"/>
    </row>
    <row r="46" spans="1:12" hidden="1">
      <c r="A46" s="890"/>
      <c r="B46" s="901" t="s">
        <v>940</v>
      </c>
      <c r="C46" s="898"/>
      <c r="D46" s="894">
        <v>3498608100</v>
      </c>
      <c r="E46" s="894">
        <f>D46</f>
        <v>3498608100</v>
      </c>
      <c r="F46" s="894">
        <f t="shared" si="3"/>
        <v>0</v>
      </c>
      <c r="G46" s="895">
        <f t="shared" si="1"/>
        <v>1</v>
      </c>
      <c r="H46" s="896"/>
      <c r="I46" s="900"/>
      <c r="J46" s="878"/>
      <c r="K46" s="879"/>
      <c r="L46" s="880"/>
    </row>
    <row r="47" spans="1:12" hidden="1">
      <c r="A47" s="890"/>
      <c r="B47" s="901" t="s">
        <v>944</v>
      </c>
      <c r="C47" s="898"/>
      <c r="D47" s="894">
        <v>23300000</v>
      </c>
      <c r="E47" s="894">
        <f>D47</f>
        <v>23300000</v>
      </c>
      <c r="F47" s="894">
        <f t="shared" si="3"/>
        <v>0</v>
      </c>
      <c r="G47" s="895">
        <f t="shared" si="1"/>
        <v>1</v>
      </c>
      <c r="H47" s="896"/>
      <c r="I47" s="900"/>
      <c r="J47" s="878"/>
      <c r="K47" s="879"/>
      <c r="L47" s="880"/>
    </row>
    <row r="48" spans="1:12" hidden="1">
      <c r="A48" s="890"/>
      <c r="B48" s="901" t="s">
        <v>945</v>
      </c>
      <c r="C48" s="898"/>
      <c r="D48" s="894">
        <v>21863230</v>
      </c>
      <c r="E48" s="894">
        <f>D48</f>
        <v>21863230</v>
      </c>
      <c r="F48" s="894">
        <f t="shared" si="3"/>
        <v>0</v>
      </c>
      <c r="G48" s="895">
        <f t="shared" si="1"/>
        <v>1</v>
      </c>
      <c r="H48" s="896"/>
      <c r="I48" s="900"/>
      <c r="J48" s="878"/>
      <c r="K48" s="879"/>
      <c r="L48" s="880"/>
    </row>
    <row r="49" spans="1:14" hidden="1">
      <c r="A49" s="890"/>
      <c r="B49" s="901" t="s">
        <v>946</v>
      </c>
      <c r="C49" s="898"/>
      <c r="D49" s="894">
        <v>24400000</v>
      </c>
      <c r="E49" s="894">
        <v>24400000</v>
      </c>
      <c r="F49" s="894">
        <f t="shared" si="3"/>
        <v>0</v>
      </c>
      <c r="G49" s="895">
        <f t="shared" si="1"/>
        <v>1</v>
      </c>
      <c r="H49" s="896"/>
      <c r="I49" s="900"/>
      <c r="J49" s="878"/>
      <c r="K49" s="879"/>
      <c r="L49" s="880"/>
    </row>
    <row r="50" spans="1:14" ht="31.5" hidden="1">
      <c r="A50" s="909"/>
      <c r="B50" s="910" t="s">
        <v>947</v>
      </c>
      <c r="C50" s="911" t="s">
        <v>948</v>
      </c>
      <c r="D50" s="912">
        <v>76037953</v>
      </c>
      <c r="E50" s="912">
        <f>D50</f>
        <v>76037953</v>
      </c>
      <c r="F50" s="912">
        <f t="shared" si="3"/>
        <v>0</v>
      </c>
      <c r="G50" s="913">
        <f t="shared" si="1"/>
        <v>1</v>
      </c>
      <c r="H50" s="914"/>
      <c r="I50" s="900"/>
      <c r="J50" s="878"/>
      <c r="K50" s="879"/>
      <c r="L50" s="880"/>
    </row>
    <row r="51" spans="1:14" ht="78.75" hidden="1">
      <c r="A51" s="915"/>
      <c r="B51" s="921" t="s">
        <v>822</v>
      </c>
      <c r="C51" s="917" t="s">
        <v>949</v>
      </c>
      <c r="D51" s="918">
        <v>270413000</v>
      </c>
      <c r="E51" s="918">
        <f>D51</f>
        <v>270413000</v>
      </c>
      <c r="F51" s="918">
        <f t="shared" si="3"/>
        <v>0</v>
      </c>
      <c r="G51" s="919">
        <f t="shared" si="1"/>
        <v>1</v>
      </c>
      <c r="H51" s="920"/>
      <c r="I51" s="900"/>
      <c r="J51" s="878"/>
      <c r="K51" s="879"/>
      <c r="L51" s="880"/>
    </row>
    <row r="52" spans="1:14" ht="31.5" hidden="1">
      <c r="A52" s="890">
        <v>3</v>
      </c>
      <c r="B52" s="891" t="s">
        <v>585</v>
      </c>
      <c r="C52" s="906"/>
      <c r="D52" s="907">
        <f>D53+D63</f>
        <v>10805128106</v>
      </c>
      <c r="E52" s="907">
        <f>E53+E63</f>
        <v>10805127907</v>
      </c>
      <c r="F52" s="907">
        <f>F53+F63</f>
        <v>0</v>
      </c>
      <c r="G52" s="895">
        <f t="shared" si="1"/>
        <v>0.999999981582819</v>
      </c>
      <c r="H52" s="896"/>
      <c r="I52" s="900"/>
      <c r="J52" s="878"/>
      <c r="K52" s="879"/>
      <c r="L52" s="880"/>
    </row>
    <row r="53" spans="1:14" hidden="1">
      <c r="A53" s="890" t="s">
        <v>559</v>
      </c>
      <c r="B53" s="891" t="s">
        <v>792</v>
      </c>
      <c r="C53" s="906"/>
      <c r="D53" s="907">
        <f>D54+D56</f>
        <v>6487752000</v>
      </c>
      <c r="E53" s="907">
        <f>E54+E56</f>
        <v>6487752000</v>
      </c>
      <c r="F53" s="907">
        <f>F54+F56</f>
        <v>0</v>
      </c>
      <c r="G53" s="895">
        <f t="shared" si="1"/>
        <v>1</v>
      </c>
      <c r="H53" s="896"/>
      <c r="I53" s="900"/>
      <c r="J53" s="878"/>
      <c r="K53" s="879"/>
      <c r="L53" s="880"/>
    </row>
    <row r="54" spans="1:14" hidden="1">
      <c r="A54" s="890" t="s">
        <v>830</v>
      </c>
      <c r="B54" s="891" t="s">
        <v>795</v>
      </c>
      <c r="C54" s="906"/>
      <c r="D54" s="907">
        <f>D55</f>
        <v>16292000</v>
      </c>
      <c r="E54" s="907">
        <f>E55</f>
        <v>16292000</v>
      </c>
      <c r="F54" s="907">
        <f>F55</f>
        <v>0</v>
      </c>
      <c r="G54" s="895">
        <f t="shared" si="1"/>
        <v>1</v>
      </c>
      <c r="H54" s="896"/>
      <c r="I54" s="900"/>
      <c r="J54" s="878"/>
      <c r="K54" s="879"/>
      <c r="L54" s="880"/>
    </row>
    <row r="55" spans="1:14" hidden="1">
      <c r="A55" s="890"/>
      <c r="B55" s="901" t="s">
        <v>509</v>
      </c>
      <c r="C55" s="898"/>
      <c r="D55" s="894">
        <v>16292000</v>
      </c>
      <c r="E55" s="894">
        <v>16292000</v>
      </c>
      <c r="F55" s="894">
        <f t="shared" si="3"/>
        <v>0</v>
      </c>
      <c r="G55" s="895">
        <f t="shared" si="1"/>
        <v>1</v>
      </c>
      <c r="H55" s="896"/>
      <c r="I55" s="900"/>
      <c r="J55" s="878"/>
      <c r="K55" s="879"/>
      <c r="L55" s="880"/>
    </row>
    <row r="56" spans="1:14" hidden="1">
      <c r="A56" s="890" t="s">
        <v>833</v>
      </c>
      <c r="B56" s="891" t="s">
        <v>950</v>
      </c>
      <c r="C56" s="906"/>
      <c r="D56" s="907">
        <f>D57+D60</f>
        <v>6471460000</v>
      </c>
      <c r="E56" s="907">
        <f>E57+E60</f>
        <v>6471460000</v>
      </c>
      <c r="F56" s="907">
        <f>SUM(F57:F57)</f>
        <v>0</v>
      </c>
      <c r="G56" s="895">
        <f t="shared" si="1"/>
        <v>1</v>
      </c>
      <c r="H56" s="896"/>
      <c r="I56" s="900"/>
      <c r="J56" s="878"/>
      <c r="K56" s="879"/>
      <c r="L56" s="880"/>
    </row>
    <row r="57" spans="1:14" ht="31.5" hidden="1">
      <c r="A57" s="890"/>
      <c r="B57" s="901" t="s">
        <v>937</v>
      </c>
      <c r="C57" s="898" t="s">
        <v>951</v>
      </c>
      <c r="D57" s="894">
        <f>D58+D59</f>
        <v>6381460000</v>
      </c>
      <c r="E57" s="894">
        <f>E58+E59</f>
        <v>6381460000</v>
      </c>
      <c r="F57" s="894">
        <f>F58+F59</f>
        <v>0</v>
      </c>
      <c r="G57" s="895">
        <f t="shared" si="1"/>
        <v>1</v>
      </c>
      <c r="H57" s="896"/>
      <c r="I57" s="900"/>
      <c r="J57" s="878"/>
      <c r="K57" s="879"/>
      <c r="L57" s="880"/>
    </row>
    <row r="58" spans="1:14" ht="87.75" hidden="1" customHeight="1">
      <c r="A58" s="890"/>
      <c r="B58" s="922"/>
      <c r="C58" s="898" t="s">
        <v>952</v>
      </c>
      <c r="D58" s="894">
        <v>2167460000</v>
      </c>
      <c r="E58" s="894">
        <f>D58</f>
        <v>2167460000</v>
      </c>
      <c r="F58" s="894">
        <f t="shared" si="3"/>
        <v>0</v>
      </c>
      <c r="G58" s="895">
        <f t="shared" si="1"/>
        <v>1</v>
      </c>
      <c r="H58" s="896"/>
      <c r="I58" s="900"/>
      <c r="J58" s="878"/>
      <c r="K58" s="879"/>
      <c r="L58" s="880"/>
    </row>
    <row r="59" spans="1:14" ht="56.25" hidden="1" customHeight="1">
      <c r="A59" s="890"/>
      <c r="B59" s="922"/>
      <c r="C59" s="898" t="s">
        <v>953</v>
      </c>
      <c r="D59" s="894">
        <v>4214000000</v>
      </c>
      <c r="E59" s="894">
        <f>D59</f>
        <v>4214000000</v>
      </c>
      <c r="F59" s="894">
        <f t="shared" si="3"/>
        <v>0</v>
      </c>
      <c r="G59" s="895">
        <f t="shared" si="1"/>
        <v>1</v>
      </c>
      <c r="H59" s="896"/>
      <c r="I59" s="900"/>
      <c r="J59" s="878"/>
      <c r="K59" s="879"/>
      <c r="L59" s="880"/>
    </row>
    <row r="60" spans="1:14" hidden="1">
      <c r="A60" s="890"/>
      <c r="B60" s="901" t="s">
        <v>939</v>
      </c>
      <c r="C60" s="898"/>
      <c r="D60" s="894">
        <f>D61+D62</f>
        <v>90000000</v>
      </c>
      <c r="E60" s="894">
        <f>E61+E62</f>
        <v>90000000</v>
      </c>
      <c r="F60" s="894">
        <f t="shared" si="3"/>
        <v>0</v>
      </c>
      <c r="G60" s="895">
        <f t="shared" si="1"/>
        <v>1</v>
      </c>
      <c r="H60" s="896"/>
      <c r="I60" s="900"/>
      <c r="J60" s="878"/>
      <c r="K60" s="879"/>
      <c r="L60" s="880"/>
    </row>
    <row r="61" spans="1:14" ht="83.25" hidden="1" customHeight="1">
      <c r="A61" s="890"/>
      <c r="B61" s="901" t="s">
        <v>954</v>
      </c>
      <c r="C61" s="898" t="s">
        <v>955</v>
      </c>
      <c r="D61" s="894">
        <v>40000000</v>
      </c>
      <c r="E61" s="894">
        <f>D61</f>
        <v>40000000</v>
      </c>
      <c r="F61" s="894">
        <f t="shared" si="3"/>
        <v>0</v>
      </c>
      <c r="G61" s="895">
        <f t="shared" si="1"/>
        <v>1</v>
      </c>
      <c r="H61" s="896"/>
      <c r="I61" s="900"/>
      <c r="J61" s="878"/>
      <c r="K61" s="879"/>
      <c r="L61" s="880"/>
    </row>
    <row r="62" spans="1:14" ht="82.5" hidden="1" customHeight="1">
      <c r="A62" s="890"/>
      <c r="B62" s="901" t="s">
        <v>956</v>
      </c>
      <c r="C62" s="898" t="s">
        <v>957</v>
      </c>
      <c r="D62" s="894">
        <v>50000000</v>
      </c>
      <c r="E62" s="894">
        <f>D62</f>
        <v>50000000</v>
      </c>
      <c r="F62" s="894">
        <f t="shared" si="3"/>
        <v>0</v>
      </c>
      <c r="G62" s="895">
        <f t="shared" si="1"/>
        <v>1</v>
      </c>
      <c r="H62" s="896"/>
      <c r="I62" s="900"/>
      <c r="J62" s="878"/>
      <c r="K62" s="879"/>
      <c r="L62" s="880"/>
    </row>
    <row r="63" spans="1:14" hidden="1">
      <c r="A63" s="890" t="s">
        <v>562</v>
      </c>
      <c r="B63" s="891" t="s">
        <v>793</v>
      </c>
      <c r="C63" s="898"/>
      <c r="D63" s="894">
        <f>D64+D67</f>
        <v>4317376106</v>
      </c>
      <c r="E63" s="894">
        <f>E64+E67</f>
        <v>4317375907</v>
      </c>
      <c r="F63" s="894">
        <f>F64+F67</f>
        <v>0</v>
      </c>
      <c r="G63" s="895">
        <f t="shared" si="1"/>
        <v>0.99999995390718921</v>
      </c>
      <c r="H63" s="896"/>
      <c r="I63" s="900"/>
      <c r="J63" s="878"/>
      <c r="K63" s="879"/>
      <c r="L63" s="880"/>
      <c r="M63" s="923"/>
      <c r="N63" s="923">
        <f>M63-D63</f>
        <v>-4317376106</v>
      </c>
    </row>
    <row r="64" spans="1:14" hidden="1">
      <c r="A64" s="890" t="s">
        <v>800</v>
      </c>
      <c r="B64" s="891" t="s">
        <v>919</v>
      </c>
      <c r="C64" s="898"/>
      <c r="D64" s="894">
        <f>D65+D66</f>
        <v>3750000728</v>
      </c>
      <c r="E64" s="894">
        <f>E65+E66</f>
        <v>3750000529</v>
      </c>
      <c r="F64" s="894">
        <f>F65+F66</f>
        <v>0</v>
      </c>
      <c r="G64" s="895">
        <f t="shared" si="1"/>
        <v>0.9999999469333436</v>
      </c>
      <c r="H64" s="896"/>
      <c r="I64" s="900"/>
      <c r="J64" s="878"/>
      <c r="K64" s="879"/>
      <c r="L64" s="880"/>
    </row>
    <row r="65" spans="1:12" ht="47.25" hidden="1">
      <c r="A65" s="909"/>
      <c r="B65" s="910" t="s">
        <v>958</v>
      </c>
      <c r="C65" s="911"/>
      <c r="D65" s="912">
        <v>1219430279</v>
      </c>
      <c r="E65" s="912">
        <f>46934989+1172495290-199</f>
        <v>1219430080</v>
      </c>
      <c r="F65" s="912">
        <f>D65-E65-199</f>
        <v>0</v>
      </c>
      <c r="G65" s="913">
        <f t="shared" si="1"/>
        <v>0.99999983680903826</v>
      </c>
      <c r="H65" s="914"/>
      <c r="I65" s="900"/>
      <c r="J65" s="878"/>
      <c r="K65" s="879"/>
      <c r="L65" s="880"/>
    </row>
    <row r="66" spans="1:12" ht="63" hidden="1">
      <c r="A66" s="915"/>
      <c r="B66" s="921" t="s">
        <v>959</v>
      </c>
      <c r="C66" s="917" t="s">
        <v>960</v>
      </c>
      <c r="D66" s="918">
        <v>2530570449</v>
      </c>
      <c r="E66" s="918">
        <f>D66</f>
        <v>2530570449</v>
      </c>
      <c r="F66" s="918">
        <f>D66-E66</f>
        <v>0</v>
      </c>
      <c r="G66" s="919">
        <f t="shared" si="1"/>
        <v>1</v>
      </c>
      <c r="H66" s="920"/>
      <c r="I66" s="900"/>
      <c r="J66" s="878"/>
      <c r="K66" s="879"/>
      <c r="L66" s="880"/>
    </row>
    <row r="67" spans="1:12" hidden="1">
      <c r="A67" s="890" t="s">
        <v>794</v>
      </c>
      <c r="B67" s="891" t="s">
        <v>950</v>
      </c>
      <c r="C67" s="898"/>
      <c r="D67" s="894">
        <f>D68+D70</f>
        <v>567375378</v>
      </c>
      <c r="E67" s="894">
        <f>E68+E70</f>
        <v>567375378</v>
      </c>
      <c r="F67" s="894">
        <f>F68+F70</f>
        <v>0</v>
      </c>
      <c r="G67" s="895">
        <f t="shared" si="1"/>
        <v>1</v>
      </c>
      <c r="H67" s="896"/>
      <c r="I67" s="900"/>
      <c r="J67" s="878"/>
      <c r="K67" s="879"/>
      <c r="L67" s="880"/>
    </row>
    <row r="68" spans="1:12" hidden="1">
      <c r="A68" s="901"/>
      <c r="B68" s="901" t="s">
        <v>961</v>
      </c>
      <c r="C68" s="898"/>
      <c r="D68" s="894">
        <f>D69</f>
        <v>565367613</v>
      </c>
      <c r="E68" s="894">
        <f>E69</f>
        <v>565367613</v>
      </c>
      <c r="F68" s="894">
        <f t="shared" si="3"/>
        <v>0</v>
      </c>
      <c r="G68" s="895">
        <f t="shared" si="1"/>
        <v>1</v>
      </c>
      <c r="H68" s="896"/>
      <c r="I68" s="900"/>
      <c r="J68" s="878"/>
      <c r="K68" s="879"/>
      <c r="L68" s="880"/>
    </row>
    <row r="69" spans="1:12" ht="63" hidden="1">
      <c r="A69" s="890"/>
      <c r="B69" s="901" t="s">
        <v>924</v>
      </c>
      <c r="C69" s="898" t="s">
        <v>962</v>
      </c>
      <c r="D69" s="894">
        <v>565367613</v>
      </c>
      <c r="E69" s="894">
        <f>348104613+214443000+2820000</f>
        <v>565367613</v>
      </c>
      <c r="F69" s="894">
        <f>D69-E69</f>
        <v>0</v>
      </c>
      <c r="G69" s="895">
        <f t="shared" si="1"/>
        <v>1</v>
      </c>
      <c r="H69" s="896"/>
      <c r="I69" s="924"/>
      <c r="J69" s="878"/>
      <c r="K69" s="879"/>
      <c r="L69" s="925"/>
    </row>
    <row r="70" spans="1:12" ht="31.5" hidden="1">
      <c r="A70" s="890"/>
      <c r="B70" s="901" t="s">
        <v>963</v>
      </c>
      <c r="C70" s="898"/>
      <c r="D70" s="894">
        <v>2007765</v>
      </c>
      <c r="E70" s="894">
        <v>2007765</v>
      </c>
      <c r="F70" s="894">
        <f>D70-E70</f>
        <v>0</v>
      </c>
      <c r="G70" s="895">
        <f t="shared" si="1"/>
        <v>1</v>
      </c>
      <c r="H70" s="896"/>
      <c r="I70" s="900"/>
      <c r="J70" s="878"/>
      <c r="K70" s="879"/>
      <c r="L70" s="880"/>
    </row>
    <row r="71" spans="1:12" ht="31.5">
      <c r="A71" s="902" t="s">
        <v>867</v>
      </c>
      <c r="B71" s="903" t="s">
        <v>964</v>
      </c>
      <c r="C71" s="898"/>
      <c r="D71" s="905">
        <f>D72+D95</f>
        <v>723955967489</v>
      </c>
      <c r="E71" s="905">
        <f>E72+E95</f>
        <v>681810967489</v>
      </c>
      <c r="F71" s="905">
        <f>F72+F95</f>
        <v>42145000000</v>
      </c>
      <c r="G71" s="884">
        <f t="shared" si="1"/>
        <v>0.94178513349896464</v>
      </c>
      <c r="H71" s="885"/>
      <c r="I71" s="873"/>
      <c r="J71" s="878"/>
      <c r="K71" s="879"/>
      <c r="L71" s="880"/>
    </row>
    <row r="72" spans="1:12">
      <c r="A72" s="926">
        <v>1</v>
      </c>
      <c r="B72" s="901" t="s">
        <v>13</v>
      </c>
      <c r="C72" s="898"/>
      <c r="D72" s="894">
        <f>D73+D88</f>
        <v>496720975559</v>
      </c>
      <c r="E72" s="894">
        <f>E73+E88</f>
        <v>454575975559</v>
      </c>
      <c r="F72" s="894">
        <f>F73+F88</f>
        <v>42145000000</v>
      </c>
      <c r="G72" s="895">
        <f t="shared" si="1"/>
        <v>0.91515357298416711</v>
      </c>
      <c r="H72" s="896"/>
      <c r="I72" s="897"/>
      <c r="J72" s="878"/>
      <c r="K72" s="879"/>
      <c r="L72" s="880"/>
    </row>
    <row r="73" spans="1:12">
      <c r="A73" s="926" t="s">
        <v>559</v>
      </c>
      <c r="B73" s="901" t="s">
        <v>542</v>
      </c>
      <c r="C73" s="898"/>
      <c r="D73" s="894">
        <f>D74+D83+D87</f>
        <v>490529523744</v>
      </c>
      <c r="E73" s="894">
        <f>E74+E83+E87</f>
        <v>448384523744</v>
      </c>
      <c r="F73" s="894">
        <f>F74+F83+F87</f>
        <v>42145000000</v>
      </c>
      <c r="G73" s="895">
        <f t="shared" si="1"/>
        <v>0.91408264342923662</v>
      </c>
      <c r="H73" s="896"/>
      <c r="I73" s="897"/>
      <c r="J73" s="878"/>
      <c r="K73" s="879"/>
      <c r="L73" s="880"/>
    </row>
    <row r="74" spans="1:12">
      <c r="A74" s="926"/>
      <c r="B74" s="901" t="s">
        <v>917</v>
      </c>
      <c r="C74" s="898"/>
      <c r="D74" s="894">
        <f>SUM(D75:D82)</f>
        <v>443745790937</v>
      </c>
      <c r="E74" s="894">
        <f>SUM(E75:E82)</f>
        <v>443745790937</v>
      </c>
      <c r="F74" s="894">
        <f>SUM(F75:F82)</f>
        <v>0</v>
      </c>
      <c r="G74" s="895">
        <f t="shared" si="1"/>
        <v>1</v>
      </c>
      <c r="H74" s="896"/>
      <c r="I74" s="897"/>
      <c r="J74" s="878"/>
      <c r="K74" s="879"/>
      <c r="L74" s="880"/>
    </row>
    <row r="75" spans="1:12" ht="87.75" hidden="1" customHeight="1">
      <c r="A75" s="926"/>
      <c r="B75" s="901"/>
      <c r="C75" s="898" t="s">
        <v>965</v>
      </c>
      <c r="D75" s="894">
        <v>35214000000</v>
      </c>
      <c r="E75" s="894">
        <f>D75</f>
        <v>35214000000</v>
      </c>
      <c r="F75" s="894"/>
      <c r="G75" s="895">
        <f t="shared" ref="G75:G109" si="4">+E75/D75</f>
        <v>1</v>
      </c>
      <c r="H75" s="896"/>
      <c r="I75" s="897"/>
      <c r="J75" s="878"/>
      <c r="K75" s="879"/>
      <c r="L75" s="880"/>
    </row>
    <row r="76" spans="1:12" hidden="1">
      <c r="A76" s="926"/>
      <c r="B76" s="901"/>
      <c r="C76" s="898" t="s">
        <v>966</v>
      </c>
      <c r="D76" s="894">
        <v>287552000000</v>
      </c>
      <c r="E76" s="894">
        <v>287552000000</v>
      </c>
      <c r="F76" s="894">
        <f t="shared" ref="F76:F82" si="5">D76-E76</f>
        <v>0</v>
      </c>
      <c r="G76" s="895">
        <f t="shared" si="4"/>
        <v>1</v>
      </c>
      <c r="H76" s="896"/>
      <c r="I76" s="899"/>
      <c r="J76" s="878"/>
      <c r="K76" s="879"/>
      <c r="L76" s="880"/>
    </row>
    <row r="77" spans="1:12" ht="33" hidden="1" customHeight="1">
      <c r="A77" s="926"/>
      <c r="B77" s="901"/>
      <c r="C77" s="898" t="s">
        <v>967</v>
      </c>
      <c r="D77" s="894">
        <v>97295000000</v>
      </c>
      <c r="E77" s="894">
        <f>D77</f>
        <v>97295000000</v>
      </c>
      <c r="F77" s="894">
        <f t="shared" si="5"/>
        <v>0</v>
      </c>
      <c r="G77" s="895">
        <f t="shared" si="4"/>
        <v>1</v>
      </c>
      <c r="H77" s="896"/>
      <c r="I77" s="897"/>
      <c r="J77" s="878"/>
      <c r="K77" s="879"/>
      <c r="L77" s="880"/>
    </row>
    <row r="78" spans="1:12" ht="79.5" hidden="1" customHeight="1">
      <c r="A78" s="926"/>
      <c r="B78" s="901"/>
      <c r="C78" s="898" t="s">
        <v>968</v>
      </c>
      <c r="D78" s="894">
        <v>13315000000</v>
      </c>
      <c r="E78" s="894">
        <f>D78</f>
        <v>13315000000</v>
      </c>
      <c r="F78" s="894">
        <f t="shared" si="5"/>
        <v>0</v>
      </c>
      <c r="G78" s="895">
        <f t="shared" si="4"/>
        <v>1</v>
      </c>
      <c r="H78" s="896" t="s">
        <v>969</v>
      </c>
      <c r="I78" s="897"/>
      <c r="J78" s="878"/>
      <c r="K78" s="879"/>
      <c r="L78" s="880"/>
    </row>
    <row r="79" spans="1:12" ht="47.25" hidden="1">
      <c r="A79" s="926"/>
      <c r="B79" s="901"/>
      <c r="C79" s="898" t="s">
        <v>970</v>
      </c>
      <c r="D79" s="894">
        <v>2544400000</v>
      </c>
      <c r="E79" s="894">
        <f>D79</f>
        <v>2544400000</v>
      </c>
      <c r="F79" s="894">
        <f t="shared" si="5"/>
        <v>0</v>
      </c>
      <c r="G79" s="895">
        <f t="shared" si="4"/>
        <v>1</v>
      </c>
      <c r="H79" s="896"/>
      <c r="I79" s="897"/>
      <c r="J79" s="878"/>
      <c r="K79" s="879"/>
      <c r="L79" s="880"/>
    </row>
    <row r="80" spans="1:12" ht="50.25" hidden="1" customHeight="1">
      <c r="A80" s="926"/>
      <c r="B80" s="901"/>
      <c r="C80" s="898" t="s">
        <v>971</v>
      </c>
      <c r="D80" s="894">
        <v>291487937</v>
      </c>
      <c r="E80" s="894">
        <f>D80</f>
        <v>291487937</v>
      </c>
      <c r="F80" s="894"/>
      <c r="G80" s="895">
        <f t="shared" si="4"/>
        <v>1</v>
      </c>
      <c r="H80" s="896"/>
      <c r="I80" s="897"/>
      <c r="J80" s="878"/>
      <c r="K80" s="879"/>
      <c r="L80" s="880"/>
    </row>
    <row r="81" spans="1:12" ht="47.25" hidden="1">
      <c r="A81" s="926"/>
      <c r="B81" s="901"/>
      <c r="C81" s="927" t="s">
        <v>972</v>
      </c>
      <c r="D81" s="894">
        <v>5000000000</v>
      </c>
      <c r="E81" s="894">
        <f>D81</f>
        <v>5000000000</v>
      </c>
      <c r="F81" s="894"/>
      <c r="G81" s="895">
        <f t="shared" si="4"/>
        <v>1</v>
      </c>
      <c r="H81" s="896"/>
      <c r="I81" s="897"/>
      <c r="J81" s="878"/>
      <c r="K81" s="879"/>
      <c r="L81" s="880"/>
    </row>
    <row r="82" spans="1:12" ht="31.5" hidden="1">
      <c r="A82" s="926"/>
      <c r="B82" s="901"/>
      <c r="C82" s="898" t="s">
        <v>973</v>
      </c>
      <c r="D82" s="894">
        <v>2533903000</v>
      </c>
      <c r="E82" s="894">
        <v>2533903000</v>
      </c>
      <c r="F82" s="894">
        <f t="shared" si="5"/>
        <v>0</v>
      </c>
      <c r="G82" s="895">
        <f t="shared" si="4"/>
        <v>1</v>
      </c>
      <c r="H82" s="896"/>
      <c r="I82" s="897"/>
      <c r="J82" s="878"/>
      <c r="K82" s="879"/>
      <c r="L82" s="880"/>
    </row>
    <row r="83" spans="1:12">
      <c r="A83" s="928"/>
      <c r="B83" s="910" t="s">
        <v>974</v>
      </c>
      <c r="C83" s="911"/>
      <c r="D83" s="912">
        <f>D84+D85+D86</f>
        <v>45445000000</v>
      </c>
      <c r="E83" s="912">
        <f>E84+E85+E86</f>
        <v>3300000000</v>
      </c>
      <c r="F83" s="912">
        <f>F84+F85+F86</f>
        <v>42145000000</v>
      </c>
      <c r="G83" s="913">
        <f t="shared" si="4"/>
        <v>7.2615249202332491E-2</v>
      </c>
      <c r="H83" s="914"/>
      <c r="I83" s="929"/>
      <c r="J83" s="878"/>
      <c r="K83" s="879"/>
      <c r="L83" s="880"/>
    </row>
    <row r="84" spans="1:12" ht="31.5">
      <c r="A84" s="930"/>
      <c r="B84" s="921"/>
      <c r="C84" s="917" t="s">
        <v>975</v>
      </c>
      <c r="D84" s="918">
        <v>4350000000</v>
      </c>
      <c r="E84" s="918"/>
      <c r="F84" s="918">
        <f>D84-E84</f>
        <v>4350000000</v>
      </c>
      <c r="G84" s="919">
        <f t="shared" si="4"/>
        <v>0</v>
      </c>
      <c r="H84" s="920"/>
      <c r="I84" s="899"/>
      <c r="J84" s="878"/>
      <c r="K84" s="879"/>
      <c r="L84" s="880"/>
    </row>
    <row r="85" spans="1:12" ht="31.5">
      <c r="A85" s="926"/>
      <c r="B85" s="901"/>
      <c r="C85" s="898" t="s">
        <v>976</v>
      </c>
      <c r="D85" s="894">
        <v>3300000000</v>
      </c>
      <c r="E85" s="894">
        <v>3300000000</v>
      </c>
      <c r="F85" s="894">
        <f>D85-E85</f>
        <v>0</v>
      </c>
      <c r="G85" s="895">
        <f t="shared" si="4"/>
        <v>1</v>
      </c>
      <c r="H85" s="896"/>
      <c r="I85" s="929"/>
      <c r="J85" s="878"/>
      <c r="K85" s="879"/>
      <c r="L85" s="880"/>
    </row>
    <row r="86" spans="1:12" ht="31.5">
      <c r="A86" s="926"/>
      <c r="B86" s="901"/>
      <c r="C86" s="898" t="s">
        <v>977</v>
      </c>
      <c r="D86" s="894">
        <v>37795000000</v>
      </c>
      <c r="E86" s="894"/>
      <c r="F86" s="894">
        <f>D86-E86</f>
        <v>37795000000</v>
      </c>
      <c r="G86" s="895">
        <f t="shared" si="4"/>
        <v>0</v>
      </c>
      <c r="H86" s="896"/>
      <c r="I86" s="929"/>
      <c r="J86" s="878"/>
      <c r="K86" s="879"/>
      <c r="L86" s="880"/>
    </row>
    <row r="87" spans="1:12" ht="31.5">
      <c r="A87" s="926"/>
      <c r="B87" s="901" t="s">
        <v>978</v>
      </c>
      <c r="C87" s="898" t="s">
        <v>979</v>
      </c>
      <c r="D87" s="894">
        <v>1338732807</v>
      </c>
      <c r="E87" s="894">
        <f>D87</f>
        <v>1338732807</v>
      </c>
      <c r="F87" s="894">
        <f>D87-E87</f>
        <v>0</v>
      </c>
      <c r="G87" s="895">
        <f t="shared" si="4"/>
        <v>1</v>
      </c>
      <c r="H87" s="896"/>
      <c r="I87" s="897"/>
      <c r="J87" s="878"/>
      <c r="K87" s="879"/>
      <c r="L87" s="880"/>
    </row>
    <row r="88" spans="1:12">
      <c r="A88" s="926" t="s">
        <v>562</v>
      </c>
      <c r="B88" s="901" t="s">
        <v>545</v>
      </c>
      <c r="C88" s="898"/>
      <c r="D88" s="894">
        <f>D89+D90+D93</f>
        <v>6191451815</v>
      </c>
      <c r="E88" s="894">
        <f>E89+E90+E93</f>
        <v>6191451815</v>
      </c>
      <c r="F88" s="894">
        <f>F89+F90+F93</f>
        <v>0</v>
      </c>
      <c r="G88" s="895">
        <f t="shared" si="4"/>
        <v>1</v>
      </c>
      <c r="H88" s="896"/>
      <c r="I88" s="897"/>
      <c r="J88" s="878"/>
      <c r="K88" s="879"/>
      <c r="L88" s="880"/>
    </row>
    <row r="89" spans="1:12" ht="47.25" hidden="1">
      <c r="A89" s="926"/>
      <c r="B89" s="901" t="s">
        <v>961</v>
      </c>
      <c r="C89" s="898" t="s">
        <v>980</v>
      </c>
      <c r="D89" s="894">
        <v>4549000000</v>
      </c>
      <c r="E89" s="894">
        <v>4549000000</v>
      </c>
      <c r="F89" s="894">
        <f>D89-E89</f>
        <v>0</v>
      </c>
      <c r="G89" s="895">
        <f t="shared" si="4"/>
        <v>1</v>
      </c>
      <c r="H89" s="896"/>
      <c r="I89" s="931"/>
      <c r="J89" s="878"/>
      <c r="K89" s="879"/>
      <c r="L89" s="880"/>
    </row>
    <row r="90" spans="1:12" hidden="1">
      <c r="A90" s="926"/>
      <c r="B90" s="901" t="s">
        <v>939</v>
      </c>
      <c r="C90" s="898"/>
      <c r="D90" s="894">
        <f>D91+D92</f>
        <v>1565476000</v>
      </c>
      <c r="E90" s="894">
        <f>E91+E92</f>
        <v>1565476000</v>
      </c>
      <c r="F90" s="894">
        <f>F91+F92</f>
        <v>0</v>
      </c>
      <c r="G90" s="895">
        <f t="shared" si="4"/>
        <v>1</v>
      </c>
      <c r="H90" s="896"/>
      <c r="I90" s="897"/>
      <c r="J90" s="878"/>
      <c r="K90" s="879"/>
      <c r="L90" s="880"/>
    </row>
    <row r="91" spans="1:12" ht="78.75" hidden="1">
      <c r="A91" s="926"/>
      <c r="B91" s="901" t="s">
        <v>981</v>
      </c>
      <c r="C91" s="898" t="s">
        <v>982</v>
      </c>
      <c r="D91" s="894">
        <v>1515476000</v>
      </c>
      <c r="E91" s="894">
        <f>D91</f>
        <v>1515476000</v>
      </c>
      <c r="F91" s="894">
        <f>D91-E91</f>
        <v>0</v>
      </c>
      <c r="G91" s="895">
        <f t="shared" si="4"/>
        <v>1</v>
      </c>
      <c r="H91" s="896"/>
      <c r="I91" s="897"/>
      <c r="J91" s="878"/>
      <c r="K91" s="879"/>
      <c r="L91" s="880"/>
    </row>
    <row r="92" spans="1:12" ht="78" hidden="1" customHeight="1">
      <c r="A92" s="926"/>
      <c r="B92" s="901" t="s">
        <v>983</v>
      </c>
      <c r="C92" s="898" t="s">
        <v>957</v>
      </c>
      <c r="D92" s="894">
        <v>50000000</v>
      </c>
      <c r="E92" s="894">
        <f>D92</f>
        <v>50000000</v>
      </c>
      <c r="F92" s="894">
        <f>D92-E92</f>
        <v>0</v>
      </c>
      <c r="G92" s="895">
        <f t="shared" si="4"/>
        <v>1</v>
      </c>
      <c r="H92" s="896"/>
      <c r="I92" s="897"/>
      <c r="J92" s="878"/>
      <c r="K92" s="879"/>
      <c r="L92" s="880"/>
    </row>
    <row r="93" spans="1:12" hidden="1">
      <c r="A93" s="926"/>
      <c r="B93" s="901" t="s">
        <v>943</v>
      </c>
      <c r="C93" s="898"/>
      <c r="D93" s="894">
        <f>D94</f>
        <v>76975815</v>
      </c>
      <c r="E93" s="894">
        <f>E94</f>
        <v>76975815</v>
      </c>
      <c r="F93" s="894">
        <f>F94</f>
        <v>0</v>
      </c>
      <c r="G93" s="895">
        <f t="shared" si="4"/>
        <v>1</v>
      </c>
      <c r="H93" s="896"/>
      <c r="I93" s="897"/>
      <c r="J93" s="878"/>
      <c r="K93" s="879"/>
      <c r="L93" s="880"/>
    </row>
    <row r="94" spans="1:12" ht="84.75" hidden="1" customHeight="1">
      <c r="A94" s="926"/>
      <c r="B94" s="901" t="s">
        <v>984</v>
      </c>
      <c r="C94" s="898" t="s">
        <v>985</v>
      </c>
      <c r="D94" s="894">
        <v>76975815</v>
      </c>
      <c r="E94" s="894">
        <v>76975815</v>
      </c>
      <c r="F94" s="894">
        <f>D94-E94</f>
        <v>0</v>
      </c>
      <c r="G94" s="895">
        <f t="shared" si="4"/>
        <v>1</v>
      </c>
      <c r="H94" s="896"/>
      <c r="I94" s="931"/>
      <c r="J94" s="878"/>
      <c r="K94" s="879"/>
      <c r="L94" s="880"/>
    </row>
    <row r="95" spans="1:12">
      <c r="A95" s="926">
        <v>2</v>
      </c>
      <c r="B95" s="901" t="s">
        <v>986</v>
      </c>
      <c r="C95" s="898"/>
      <c r="D95" s="894">
        <f>D96+D107</f>
        <v>227234991930</v>
      </c>
      <c r="E95" s="894">
        <f>E96+E107</f>
        <v>227234991930</v>
      </c>
      <c r="F95" s="894">
        <f>F96+F107</f>
        <v>0</v>
      </c>
      <c r="G95" s="895">
        <f t="shared" si="4"/>
        <v>1</v>
      </c>
      <c r="H95" s="896"/>
      <c r="I95" s="897"/>
      <c r="J95" s="878"/>
      <c r="K95" s="879"/>
      <c r="L95" s="880"/>
    </row>
    <row r="96" spans="1:12" hidden="1">
      <c r="A96" s="926" t="s">
        <v>559</v>
      </c>
      <c r="B96" s="901" t="s">
        <v>542</v>
      </c>
      <c r="C96" s="898"/>
      <c r="D96" s="894">
        <f>D97+D103+D105</f>
        <v>224734991930</v>
      </c>
      <c r="E96" s="894">
        <f>E97+E103+E105</f>
        <v>224734991930</v>
      </c>
      <c r="F96" s="894">
        <f>F97+F103+F105</f>
        <v>0</v>
      </c>
      <c r="G96" s="895">
        <f t="shared" si="4"/>
        <v>1</v>
      </c>
      <c r="H96" s="896"/>
      <c r="I96" s="897"/>
      <c r="J96" s="878"/>
      <c r="K96" s="879"/>
      <c r="L96" s="880"/>
    </row>
    <row r="97" spans="1:16" hidden="1">
      <c r="A97" s="926"/>
      <c r="B97" s="901" t="s">
        <v>917</v>
      </c>
      <c r="C97" s="898"/>
      <c r="D97" s="894">
        <f>SUM(D98:D102)</f>
        <v>213411551620</v>
      </c>
      <c r="E97" s="894">
        <f>SUM(E98:E102)</f>
        <v>213411551620</v>
      </c>
      <c r="F97" s="894">
        <f>SUM(F98:F102)</f>
        <v>0</v>
      </c>
      <c r="G97" s="895">
        <f t="shared" si="4"/>
        <v>1</v>
      </c>
      <c r="H97" s="896"/>
      <c r="I97" s="897"/>
      <c r="J97" s="878"/>
      <c r="K97" s="879"/>
      <c r="L97" s="880"/>
    </row>
    <row r="98" spans="1:16" ht="93.75" hidden="1" customHeight="1">
      <c r="A98" s="926"/>
      <c r="B98" s="901"/>
      <c r="C98" s="898" t="s">
        <v>987</v>
      </c>
      <c r="D98" s="894">
        <v>23639478000</v>
      </c>
      <c r="E98" s="894">
        <f>D98</f>
        <v>23639478000</v>
      </c>
      <c r="F98" s="894">
        <f>D98-E98</f>
        <v>0</v>
      </c>
      <c r="G98" s="895">
        <f t="shared" si="4"/>
        <v>1</v>
      </c>
      <c r="H98" s="896"/>
      <c r="I98" s="897"/>
      <c r="J98" s="878"/>
      <c r="K98" s="879"/>
      <c r="L98" s="880"/>
    </row>
    <row r="99" spans="1:16" ht="21" hidden="1" customHeight="1">
      <c r="A99" s="926"/>
      <c r="B99" s="901"/>
      <c r="C99" s="898" t="s">
        <v>988</v>
      </c>
      <c r="D99" s="894">
        <v>74795200000</v>
      </c>
      <c r="E99" s="894">
        <f>D99</f>
        <v>74795200000</v>
      </c>
      <c r="F99" s="894">
        <f>D99-E99</f>
        <v>0</v>
      </c>
      <c r="G99" s="895">
        <f t="shared" si="4"/>
        <v>1</v>
      </c>
      <c r="H99" s="896"/>
      <c r="I99" s="897"/>
      <c r="J99" s="878"/>
      <c r="K99" s="879"/>
      <c r="L99" s="880"/>
    </row>
    <row r="100" spans="1:16" hidden="1">
      <c r="A100" s="928"/>
      <c r="B100" s="910"/>
      <c r="C100" s="911" t="s">
        <v>989</v>
      </c>
      <c r="D100" s="912">
        <v>56835909051</v>
      </c>
      <c r="E100" s="912">
        <f>'[6]STC-ton ngan'!AA7</f>
        <v>56835909051</v>
      </c>
      <c r="F100" s="912">
        <f>D100-E100</f>
        <v>0</v>
      </c>
      <c r="G100" s="913">
        <f t="shared" si="4"/>
        <v>1</v>
      </c>
      <c r="H100" s="914"/>
      <c r="I100" s="897"/>
      <c r="J100" s="878"/>
      <c r="K100" s="879"/>
      <c r="L100" s="880"/>
    </row>
    <row r="101" spans="1:16" hidden="1">
      <c r="A101" s="930"/>
      <c r="B101" s="921"/>
      <c r="C101" s="917" t="s">
        <v>990</v>
      </c>
      <c r="D101" s="918">
        <v>27715083079</v>
      </c>
      <c r="E101" s="918">
        <f>'[6]STC_tam ung'!K8</f>
        <v>27715083079</v>
      </c>
      <c r="F101" s="918">
        <f>D101-E101</f>
        <v>0</v>
      </c>
      <c r="G101" s="919">
        <f t="shared" si="4"/>
        <v>1</v>
      </c>
      <c r="H101" s="920"/>
      <c r="I101" s="897"/>
      <c r="J101" s="878"/>
      <c r="K101" s="879"/>
      <c r="L101" s="880"/>
    </row>
    <row r="102" spans="1:16" ht="73.5" hidden="1" customHeight="1">
      <c r="A102" s="926"/>
      <c r="B102" s="901"/>
      <c r="C102" s="898" t="s">
        <v>991</v>
      </c>
      <c r="D102" s="894">
        <v>30425881490</v>
      </c>
      <c r="E102" s="894">
        <f>17883407012+4502623504+8039850974</f>
        <v>30425881490</v>
      </c>
      <c r="F102" s="894">
        <f>D102-E102</f>
        <v>0</v>
      </c>
      <c r="G102" s="895">
        <f t="shared" si="4"/>
        <v>1</v>
      </c>
      <c r="H102" s="896" t="s">
        <v>992</v>
      </c>
      <c r="I102" s="899"/>
      <c r="J102" s="878"/>
      <c r="K102" s="879"/>
      <c r="L102" s="880"/>
      <c r="N102" s="859" t="s">
        <v>993</v>
      </c>
      <c r="O102" s="859" t="s">
        <v>994</v>
      </c>
      <c r="P102" s="932" t="s">
        <v>995</v>
      </c>
    </row>
    <row r="103" spans="1:16" hidden="1">
      <c r="A103" s="926"/>
      <c r="B103" s="901" t="s">
        <v>996</v>
      </c>
      <c r="C103" s="898"/>
      <c r="D103" s="894">
        <f>D104</f>
        <v>6263010000</v>
      </c>
      <c r="E103" s="894">
        <f>E104</f>
        <v>6263010000</v>
      </c>
      <c r="F103" s="894">
        <f>F104</f>
        <v>0</v>
      </c>
      <c r="G103" s="895">
        <f t="shared" si="4"/>
        <v>1</v>
      </c>
      <c r="H103" s="896"/>
      <c r="I103" s="931"/>
      <c r="J103" s="878"/>
      <c r="K103" s="879"/>
      <c r="L103" s="880"/>
    </row>
    <row r="104" spans="1:16" ht="35.450000000000003" hidden="1" customHeight="1">
      <c r="A104" s="926"/>
      <c r="B104" s="901" t="s">
        <v>997</v>
      </c>
      <c r="C104" s="898" t="s">
        <v>998</v>
      </c>
      <c r="D104" s="894">
        <v>6263010000</v>
      </c>
      <c r="E104" s="894">
        <f>D104</f>
        <v>6263010000</v>
      </c>
      <c r="F104" s="894">
        <f>D104-E104</f>
        <v>0</v>
      </c>
      <c r="G104" s="895">
        <f t="shared" si="4"/>
        <v>1</v>
      </c>
      <c r="H104" s="896"/>
      <c r="I104" s="931"/>
      <c r="J104" s="878"/>
      <c r="K104" s="879"/>
      <c r="L104" s="880"/>
    </row>
    <row r="105" spans="1:16" hidden="1">
      <c r="A105" s="926"/>
      <c r="B105" s="901" t="s">
        <v>999</v>
      </c>
      <c r="C105" s="898"/>
      <c r="D105" s="894">
        <f>D106</f>
        <v>5060430310</v>
      </c>
      <c r="E105" s="894">
        <f>E106</f>
        <v>5060430310</v>
      </c>
      <c r="F105" s="894">
        <f>F106</f>
        <v>0</v>
      </c>
      <c r="G105" s="895">
        <f t="shared" si="4"/>
        <v>1</v>
      </c>
      <c r="H105" s="896"/>
      <c r="I105" s="931"/>
      <c r="J105" s="878"/>
      <c r="K105" s="879"/>
      <c r="L105" s="880"/>
    </row>
    <row r="106" spans="1:16" ht="35.25" hidden="1" customHeight="1">
      <c r="A106" s="926"/>
      <c r="B106" s="901" t="s">
        <v>1000</v>
      </c>
      <c r="C106" s="898" t="s">
        <v>1001</v>
      </c>
      <c r="D106" s="894">
        <v>5060430310</v>
      </c>
      <c r="E106" s="894">
        <f>2272778026+2787652284</f>
        <v>5060430310</v>
      </c>
      <c r="F106" s="894">
        <f>D106-E106</f>
        <v>0</v>
      </c>
      <c r="G106" s="895">
        <f t="shared" si="4"/>
        <v>1</v>
      </c>
      <c r="H106" s="896"/>
      <c r="I106" s="931"/>
      <c r="J106" s="878"/>
      <c r="K106" s="879"/>
      <c r="L106" s="880"/>
    </row>
    <row r="107" spans="1:16" hidden="1">
      <c r="A107" s="926" t="s">
        <v>562</v>
      </c>
      <c r="B107" s="901" t="s">
        <v>545</v>
      </c>
      <c r="C107" s="898"/>
      <c r="D107" s="894">
        <f>D108</f>
        <v>2500000000</v>
      </c>
      <c r="E107" s="894">
        <f>E108</f>
        <v>2500000000</v>
      </c>
      <c r="F107" s="894">
        <f>F108</f>
        <v>0</v>
      </c>
      <c r="G107" s="895">
        <f t="shared" si="4"/>
        <v>1</v>
      </c>
      <c r="H107" s="896"/>
      <c r="I107" s="897"/>
      <c r="J107" s="878"/>
      <c r="K107" s="879"/>
      <c r="L107" s="880"/>
    </row>
    <row r="108" spans="1:16" ht="52.9" hidden="1" customHeight="1">
      <c r="A108" s="926"/>
      <c r="B108" s="901" t="s">
        <v>961</v>
      </c>
      <c r="C108" s="898" t="s">
        <v>1002</v>
      </c>
      <c r="D108" s="894">
        <v>2500000000</v>
      </c>
      <c r="E108" s="894">
        <f>D108</f>
        <v>2500000000</v>
      </c>
      <c r="F108" s="894">
        <f>D108-E108</f>
        <v>0</v>
      </c>
      <c r="G108" s="895">
        <f t="shared" si="4"/>
        <v>1</v>
      </c>
      <c r="H108" s="896"/>
      <c r="I108" s="897"/>
      <c r="J108" s="878"/>
      <c r="K108" s="879"/>
      <c r="L108" s="880"/>
    </row>
    <row r="109" spans="1:16" s="889" customFormat="1">
      <c r="A109" s="881" t="s">
        <v>1003</v>
      </c>
      <c r="B109" s="933" t="s">
        <v>1004</v>
      </c>
      <c r="C109" s="904"/>
      <c r="D109" s="905">
        <f>D110</f>
        <v>7354000000</v>
      </c>
      <c r="E109" s="905">
        <f>E110</f>
        <v>7354000000</v>
      </c>
      <c r="F109" s="905">
        <f>F110</f>
        <v>0</v>
      </c>
      <c r="G109" s="884">
        <f t="shared" si="4"/>
        <v>1</v>
      </c>
      <c r="H109" s="885"/>
      <c r="I109" s="877"/>
      <c r="J109" s="886"/>
      <c r="K109" s="887"/>
      <c r="L109" s="888"/>
    </row>
    <row r="110" spans="1:16" ht="72" customHeight="1">
      <c r="A110" s="928">
        <v>1</v>
      </c>
      <c r="B110" s="910" t="s">
        <v>1005</v>
      </c>
      <c r="C110" s="911" t="s">
        <v>1006</v>
      </c>
      <c r="D110" s="912">
        <v>7354000000</v>
      </c>
      <c r="E110" s="912">
        <v>7354000000</v>
      </c>
      <c r="F110" s="912">
        <f>D110-E110</f>
        <v>0</v>
      </c>
      <c r="G110" s="913">
        <f>+E110/D110</f>
        <v>1</v>
      </c>
      <c r="H110" s="914"/>
      <c r="I110" s="897"/>
      <c r="J110" s="878"/>
      <c r="K110" s="879"/>
      <c r="L110" s="880"/>
    </row>
    <row r="111" spans="1:16">
      <c r="H111" s="936"/>
    </row>
  </sheetData>
  <mergeCells count="6">
    <mergeCell ref="H11:H12"/>
    <mergeCell ref="A3:H3"/>
    <mergeCell ref="A4:H4"/>
    <mergeCell ref="A5:H5"/>
    <mergeCell ref="F6:H6"/>
    <mergeCell ref="A8:C8"/>
  </mergeCells>
  <printOptions horizontalCentered="1"/>
  <pageMargins left="0.25" right="0.25" top="0.2" bottom="0.25" header="0.32" footer="0.23"/>
  <pageSetup scale="80"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tabSelected="1" zoomScale="80" zoomScaleNormal="80" workbookViewId="0">
      <pane xSplit="2" ySplit="5" topLeftCell="C60" activePane="bottomRight" state="frozen"/>
      <selection activeCell="A4" sqref="A4"/>
      <selection pane="topRight" activeCell="A4" sqref="A4"/>
      <selection pane="bottomLeft" activeCell="A4" sqref="A4"/>
      <selection pane="bottomRight" activeCell="A4" sqref="A4"/>
    </sheetView>
  </sheetViews>
  <sheetFormatPr defaultRowHeight="12.75"/>
  <cols>
    <col min="1" max="1" width="7.140625" style="1038" customWidth="1"/>
    <col min="2" max="2" width="26.7109375" style="938" customWidth="1"/>
    <col min="3" max="3" width="43.28515625" style="938" customWidth="1"/>
    <col min="4" max="4" width="18.42578125" style="939" customWidth="1"/>
    <col min="5" max="5" width="18" style="939" bestFit="1" customWidth="1"/>
    <col min="6" max="6" width="18.140625" style="939" customWidth="1"/>
    <col min="7" max="7" width="11.28515625" style="1039" customWidth="1"/>
    <col min="8" max="8" width="33" style="1040" customWidth="1"/>
    <col min="9" max="10" width="9.140625" style="938"/>
    <col min="11" max="11" width="21.140625" style="938" customWidth="1"/>
    <col min="12" max="256" width="9.140625" style="938"/>
    <col min="257" max="257" width="7.140625" style="938" customWidth="1"/>
    <col min="258" max="258" width="26.7109375" style="938" customWidth="1"/>
    <col min="259" max="259" width="46.140625" style="938" customWidth="1"/>
    <col min="260" max="260" width="18.42578125" style="938" customWidth="1"/>
    <col min="261" max="261" width="18" style="938" bestFit="1" customWidth="1"/>
    <col min="262" max="262" width="18.140625" style="938" customWidth="1"/>
    <col min="263" max="263" width="11.28515625" style="938" customWidth="1"/>
    <col min="264" max="264" width="33" style="938" customWidth="1"/>
    <col min="265" max="266" width="9.140625" style="938"/>
    <col min="267" max="267" width="21.140625" style="938" customWidth="1"/>
    <col min="268" max="512" width="9.140625" style="938"/>
    <col min="513" max="513" width="7.140625" style="938" customWidth="1"/>
    <col min="514" max="514" width="26.7109375" style="938" customWidth="1"/>
    <col min="515" max="515" width="46.140625" style="938" customWidth="1"/>
    <col min="516" max="516" width="18.42578125" style="938" customWidth="1"/>
    <col min="517" max="517" width="18" style="938" bestFit="1" customWidth="1"/>
    <col min="518" max="518" width="18.140625" style="938" customWidth="1"/>
    <col min="519" max="519" width="11.28515625" style="938" customWidth="1"/>
    <col min="520" max="520" width="33" style="938" customWidth="1"/>
    <col min="521" max="522" width="9.140625" style="938"/>
    <col min="523" max="523" width="21.140625" style="938" customWidth="1"/>
    <col min="524" max="768" width="9.140625" style="938"/>
    <col min="769" max="769" width="7.140625" style="938" customWidth="1"/>
    <col min="770" max="770" width="26.7109375" style="938" customWidth="1"/>
    <col min="771" max="771" width="46.140625" style="938" customWidth="1"/>
    <col min="772" max="772" width="18.42578125" style="938" customWidth="1"/>
    <col min="773" max="773" width="18" style="938" bestFit="1" customWidth="1"/>
    <col min="774" max="774" width="18.140625" style="938" customWidth="1"/>
    <col min="775" max="775" width="11.28515625" style="938" customWidth="1"/>
    <col min="776" max="776" width="33" style="938" customWidth="1"/>
    <col min="777" max="778" width="9.140625" style="938"/>
    <col min="779" max="779" width="21.140625" style="938" customWidth="1"/>
    <col min="780" max="1024" width="9.140625" style="938"/>
    <col min="1025" max="1025" width="7.140625" style="938" customWidth="1"/>
    <col min="1026" max="1026" width="26.7109375" style="938" customWidth="1"/>
    <col min="1027" max="1027" width="46.140625" style="938" customWidth="1"/>
    <col min="1028" max="1028" width="18.42578125" style="938" customWidth="1"/>
    <col min="1029" max="1029" width="18" style="938" bestFit="1" customWidth="1"/>
    <col min="1030" max="1030" width="18.140625" style="938" customWidth="1"/>
    <col min="1031" max="1031" width="11.28515625" style="938" customWidth="1"/>
    <col min="1032" max="1032" width="33" style="938" customWidth="1"/>
    <col min="1033" max="1034" width="9.140625" style="938"/>
    <col min="1035" max="1035" width="21.140625" style="938" customWidth="1"/>
    <col min="1036" max="1280" width="9.140625" style="938"/>
    <col min="1281" max="1281" width="7.140625" style="938" customWidth="1"/>
    <col min="1282" max="1282" width="26.7109375" style="938" customWidth="1"/>
    <col min="1283" max="1283" width="46.140625" style="938" customWidth="1"/>
    <col min="1284" max="1284" width="18.42578125" style="938" customWidth="1"/>
    <col min="1285" max="1285" width="18" style="938" bestFit="1" customWidth="1"/>
    <col min="1286" max="1286" width="18.140625" style="938" customWidth="1"/>
    <col min="1287" max="1287" width="11.28515625" style="938" customWidth="1"/>
    <col min="1288" max="1288" width="33" style="938" customWidth="1"/>
    <col min="1289" max="1290" width="9.140625" style="938"/>
    <col min="1291" max="1291" width="21.140625" style="938" customWidth="1"/>
    <col min="1292" max="1536" width="9.140625" style="938"/>
    <col min="1537" max="1537" width="7.140625" style="938" customWidth="1"/>
    <col min="1538" max="1538" width="26.7109375" style="938" customWidth="1"/>
    <col min="1539" max="1539" width="46.140625" style="938" customWidth="1"/>
    <col min="1540" max="1540" width="18.42578125" style="938" customWidth="1"/>
    <col min="1541" max="1541" width="18" style="938" bestFit="1" customWidth="1"/>
    <col min="1542" max="1542" width="18.140625" style="938" customWidth="1"/>
    <col min="1543" max="1543" width="11.28515625" style="938" customWidth="1"/>
    <col min="1544" max="1544" width="33" style="938" customWidth="1"/>
    <col min="1545" max="1546" width="9.140625" style="938"/>
    <col min="1547" max="1547" width="21.140625" style="938" customWidth="1"/>
    <col min="1548" max="1792" width="9.140625" style="938"/>
    <col min="1793" max="1793" width="7.140625" style="938" customWidth="1"/>
    <col min="1794" max="1794" width="26.7109375" style="938" customWidth="1"/>
    <col min="1795" max="1795" width="46.140625" style="938" customWidth="1"/>
    <col min="1796" max="1796" width="18.42578125" style="938" customWidth="1"/>
    <col min="1797" max="1797" width="18" style="938" bestFit="1" customWidth="1"/>
    <col min="1798" max="1798" width="18.140625" style="938" customWidth="1"/>
    <col min="1799" max="1799" width="11.28515625" style="938" customWidth="1"/>
    <col min="1800" max="1800" width="33" style="938" customWidth="1"/>
    <col min="1801" max="1802" width="9.140625" style="938"/>
    <col min="1803" max="1803" width="21.140625" style="938" customWidth="1"/>
    <col min="1804" max="2048" width="9.140625" style="938"/>
    <col min="2049" max="2049" width="7.140625" style="938" customWidth="1"/>
    <col min="2050" max="2050" width="26.7109375" style="938" customWidth="1"/>
    <col min="2051" max="2051" width="46.140625" style="938" customWidth="1"/>
    <col min="2052" max="2052" width="18.42578125" style="938" customWidth="1"/>
    <col min="2053" max="2053" width="18" style="938" bestFit="1" customWidth="1"/>
    <col min="2054" max="2054" width="18.140625" style="938" customWidth="1"/>
    <col min="2055" max="2055" width="11.28515625" style="938" customWidth="1"/>
    <col min="2056" max="2056" width="33" style="938" customWidth="1"/>
    <col min="2057" max="2058" width="9.140625" style="938"/>
    <col min="2059" max="2059" width="21.140625" style="938" customWidth="1"/>
    <col min="2060" max="2304" width="9.140625" style="938"/>
    <col min="2305" max="2305" width="7.140625" style="938" customWidth="1"/>
    <col min="2306" max="2306" width="26.7109375" style="938" customWidth="1"/>
    <col min="2307" max="2307" width="46.140625" style="938" customWidth="1"/>
    <col min="2308" max="2308" width="18.42578125" style="938" customWidth="1"/>
    <col min="2309" max="2309" width="18" style="938" bestFit="1" customWidth="1"/>
    <col min="2310" max="2310" width="18.140625" style="938" customWidth="1"/>
    <col min="2311" max="2311" width="11.28515625" style="938" customWidth="1"/>
    <col min="2312" max="2312" width="33" style="938" customWidth="1"/>
    <col min="2313" max="2314" width="9.140625" style="938"/>
    <col min="2315" max="2315" width="21.140625" style="938" customWidth="1"/>
    <col min="2316" max="2560" width="9.140625" style="938"/>
    <col min="2561" max="2561" width="7.140625" style="938" customWidth="1"/>
    <col min="2562" max="2562" width="26.7109375" style="938" customWidth="1"/>
    <col min="2563" max="2563" width="46.140625" style="938" customWidth="1"/>
    <col min="2564" max="2564" width="18.42578125" style="938" customWidth="1"/>
    <col min="2565" max="2565" width="18" style="938" bestFit="1" customWidth="1"/>
    <col min="2566" max="2566" width="18.140625" style="938" customWidth="1"/>
    <col min="2567" max="2567" width="11.28515625" style="938" customWidth="1"/>
    <col min="2568" max="2568" width="33" style="938" customWidth="1"/>
    <col min="2569" max="2570" width="9.140625" style="938"/>
    <col min="2571" max="2571" width="21.140625" style="938" customWidth="1"/>
    <col min="2572" max="2816" width="9.140625" style="938"/>
    <col min="2817" max="2817" width="7.140625" style="938" customWidth="1"/>
    <col min="2818" max="2818" width="26.7109375" style="938" customWidth="1"/>
    <col min="2819" max="2819" width="46.140625" style="938" customWidth="1"/>
    <col min="2820" max="2820" width="18.42578125" style="938" customWidth="1"/>
    <col min="2821" max="2821" width="18" style="938" bestFit="1" customWidth="1"/>
    <col min="2822" max="2822" width="18.140625" style="938" customWidth="1"/>
    <col min="2823" max="2823" width="11.28515625" style="938" customWidth="1"/>
    <col min="2824" max="2824" width="33" style="938" customWidth="1"/>
    <col min="2825" max="2826" width="9.140625" style="938"/>
    <col min="2827" max="2827" width="21.140625" style="938" customWidth="1"/>
    <col min="2828" max="3072" width="9.140625" style="938"/>
    <col min="3073" max="3073" width="7.140625" style="938" customWidth="1"/>
    <col min="3074" max="3074" width="26.7109375" style="938" customWidth="1"/>
    <col min="3075" max="3075" width="46.140625" style="938" customWidth="1"/>
    <col min="3076" max="3076" width="18.42578125" style="938" customWidth="1"/>
    <col min="3077" max="3077" width="18" style="938" bestFit="1" customWidth="1"/>
    <col min="3078" max="3078" width="18.140625" style="938" customWidth="1"/>
    <col min="3079" max="3079" width="11.28515625" style="938" customWidth="1"/>
    <col min="3080" max="3080" width="33" style="938" customWidth="1"/>
    <col min="3081" max="3082" width="9.140625" style="938"/>
    <col min="3083" max="3083" width="21.140625" style="938" customWidth="1"/>
    <col min="3084" max="3328" width="9.140625" style="938"/>
    <col min="3329" max="3329" width="7.140625" style="938" customWidth="1"/>
    <col min="3330" max="3330" width="26.7109375" style="938" customWidth="1"/>
    <col min="3331" max="3331" width="46.140625" style="938" customWidth="1"/>
    <col min="3332" max="3332" width="18.42578125" style="938" customWidth="1"/>
    <col min="3333" max="3333" width="18" style="938" bestFit="1" customWidth="1"/>
    <col min="3334" max="3334" width="18.140625" style="938" customWidth="1"/>
    <col min="3335" max="3335" width="11.28515625" style="938" customWidth="1"/>
    <col min="3336" max="3336" width="33" style="938" customWidth="1"/>
    <col min="3337" max="3338" width="9.140625" style="938"/>
    <col min="3339" max="3339" width="21.140625" style="938" customWidth="1"/>
    <col min="3340" max="3584" width="9.140625" style="938"/>
    <col min="3585" max="3585" width="7.140625" style="938" customWidth="1"/>
    <col min="3586" max="3586" width="26.7109375" style="938" customWidth="1"/>
    <col min="3587" max="3587" width="46.140625" style="938" customWidth="1"/>
    <col min="3588" max="3588" width="18.42578125" style="938" customWidth="1"/>
    <col min="3589" max="3589" width="18" style="938" bestFit="1" customWidth="1"/>
    <col min="3590" max="3590" width="18.140625" style="938" customWidth="1"/>
    <col min="3591" max="3591" width="11.28515625" style="938" customWidth="1"/>
    <col min="3592" max="3592" width="33" style="938" customWidth="1"/>
    <col min="3593" max="3594" width="9.140625" style="938"/>
    <col min="3595" max="3595" width="21.140625" style="938" customWidth="1"/>
    <col min="3596" max="3840" width="9.140625" style="938"/>
    <col min="3841" max="3841" width="7.140625" style="938" customWidth="1"/>
    <col min="3842" max="3842" width="26.7109375" style="938" customWidth="1"/>
    <col min="3843" max="3843" width="46.140625" style="938" customWidth="1"/>
    <col min="3844" max="3844" width="18.42578125" style="938" customWidth="1"/>
    <col min="3845" max="3845" width="18" style="938" bestFit="1" customWidth="1"/>
    <col min="3846" max="3846" width="18.140625" style="938" customWidth="1"/>
    <col min="3847" max="3847" width="11.28515625" style="938" customWidth="1"/>
    <col min="3848" max="3848" width="33" style="938" customWidth="1"/>
    <col min="3849" max="3850" width="9.140625" style="938"/>
    <col min="3851" max="3851" width="21.140625" style="938" customWidth="1"/>
    <col min="3852" max="4096" width="9.140625" style="938"/>
    <col min="4097" max="4097" width="7.140625" style="938" customWidth="1"/>
    <col min="4098" max="4098" width="26.7109375" style="938" customWidth="1"/>
    <col min="4099" max="4099" width="46.140625" style="938" customWidth="1"/>
    <col min="4100" max="4100" width="18.42578125" style="938" customWidth="1"/>
    <col min="4101" max="4101" width="18" style="938" bestFit="1" customWidth="1"/>
    <col min="4102" max="4102" width="18.140625" style="938" customWidth="1"/>
    <col min="4103" max="4103" width="11.28515625" style="938" customWidth="1"/>
    <col min="4104" max="4104" width="33" style="938" customWidth="1"/>
    <col min="4105" max="4106" width="9.140625" style="938"/>
    <col min="4107" max="4107" width="21.140625" style="938" customWidth="1"/>
    <col min="4108" max="4352" width="9.140625" style="938"/>
    <col min="4353" max="4353" width="7.140625" style="938" customWidth="1"/>
    <col min="4354" max="4354" width="26.7109375" style="938" customWidth="1"/>
    <col min="4355" max="4355" width="46.140625" style="938" customWidth="1"/>
    <col min="4356" max="4356" width="18.42578125" style="938" customWidth="1"/>
    <col min="4357" max="4357" width="18" style="938" bestFit="1" customWidth="1"/>
    <col min="4358" max="4358" width="18.140625" style="938" customWidth="1"/>
    <col min="4359" max="4359" width="11.28515625" style="938" customWidth="1"/>
    <col min="4360" max="4360" width="33" style="938" customWidth="1"/>
    <col min="4361" max="4362" width="9.140625" style="938"/>
    <col min="4363" max="4363" width="21.140625" style="938" customWidth="1"/>
    <col min="4364" max="4608" width="9.140625" style="938"/>
    <col min="4609" max="4609" width="7.140625" style="938" customWidth="1"/>
    <col min="4610" max="4610" width="26.7109375" style="938" customWidth="1"/>
    <col min="4611" max="4611" width="46.140625" style="938" customWidth="1"/>
    <col min="4612" max="4612" width="18.42578125" style="938" customWidth="1"/>
    <col min="4613" max="4613" width="18" style="938" bestFit="1" customWidth="1"/>
    <col min="4614" max="4614" width="18.140625" style="938" customWidth="1"/>
    <col min="4615" max="4615" width="11.28515625" style="938" customWidth="1"/>
    <col min="4616" max="4616" width="33" style="938" customWidth="1"/>
    <col min="4617" max="4618" width="9.140625" style="938"/>
    <col min="4619" max="4619" width="21.140625" style="938" customWidth="1"/>
    <col min="4620" max="4864" width="9.140625" style="938"/>
    <col min="4865" max="4865" width="7.140625" style="938" customWidth="1"/>
    <col min="4866" max="4866" width="26.7109375" style="938" customWidth="1"/>
    <col min="4867" max="4867" width="46.140625" style="938" customWidth="1"/>
    <col min="4868" max="4868" width="18.42578125" style="938" customWidth="1"/>
    <col min="4869" max="4869" width="18" style="938" bestFit="1" customWidth="1"/>
    <col min="4870" max="4870" width="18.140625" style="938" customWidth="1"/>
    <col min="4871" max="4871" width="11.28515625" style="938" customWidth="1"/>
    <col min="4872" max="4872" width="33" style="938" customWidth="1"/>
    <col min="4873" max="4874" width="9.140625" style="938"/>
    <col min="4875" max="4875" width="21.140625" style="938" customWidth="1"/>
    <col min="4876" max="5120" width="9.140625" style="938"/>
    <col min="5121" max="5121" width="7.140625" style="938" customWidth="1"/>
    <col min="5122" max="5122" width="26.7109375" style="938" customWidth="1"/>
    <col min="5123" max="5123" width="46.140625" style="938" customWidth="1"/>
    <col min="5124" max="5124" width="18.42578125" style="938" customWidth="1"/>
    <col min="5125" max="5125" width="18" style="938" bestFit="1" customWidth="1"/>
    <col min="5126" max="5126" width="18.140625" style="938" customWidth="1"/>
    <col min="5127" max="5127" width="11.28515625" style="938" customWidth="1"/>
    <col min="5128" max="5128" width="33" style="938" customWidth="1"/>
    <col min="5129" max="5130" width="9.140625" style="938"/>
    <col min="5131" max="5131" width="21.140625" style="938" customWidth="1"/>
    <col min="5132" max="5376" width="9.140625" style="938"/>
    <col min="5377" max="5377" width="7.140625" style="938" customWidth="1"/>
    <col min="5378" max="5378" width="26.7109375" style="938" customWidth="1"/>
    <col min="5379" max="5379" width="46.140625" style="938" customWidth="1"/>
    <col min="5380" max="5380" width="18.42578125" style="938" customWidth="1"/>
    <col min="5381" max="5381" width="18" style="938" bestFit="1" customWidth="1"/>
    <col min="5382" max="5382" width="18.140625" style="938" customWidth="1"/>
    <col min="5383" max="5383" width="11.28515625" style="938" customWidth="1"/>
    <col min="5384" max="5384" width="33" style="938" customWidth="1"/>
    <col min="5385" max="5386" width="9.140625" style="938"/>
    <col min="5387" max="5387" width="21.140625" style="938" customWidth="1"/>
    <col min="5388" max="5632" width="9.140625" style="938"/>
    <col min="5633" max="5633" width="7.140625" style="938" customWidth="1"/>
    <col min="5634" max="5634" width="26.7109375" style="938" customWidth="1"/>
    <col min="5635" max="5635" width="46.140625" style="938" customWidth="1"/>
    <col min="5636" max="5636" width="18.42578125" style="938" customWidth="1"/>
    <col min="5637" max="5637" width="18" style="938" bestFit="1" customWidth="1"/>
    <col min="5638" max="5638" width="18.140625" style="938" customWidth="1"/>
    <col min="5639" max="5639" width="11.28515625" style="938" customWidth="1"/>
    <col min="5640" max="5640" width="33" style="938" customWidth="1"/>
    <col min="5641" max="5642" width="9.140625" style="938"/>
    <col min="5643" max="5643" width="21.140625" style="938" customWidth="1"/>
    <col min="5644" max="5888" width="9.140625" style="938"/>
    <col min="5889" max="5889" width="7.140625" style="938" customWidth="1"/>
    <col min="5890" max="5890" width="26.7109375" style="938" customWidth="1"/>
    <col min="5891" max="5891" width="46.140625" style="938" customWidth="1"/>
    <col min="5892" max="5892" width="18.42578125" style="938" customWidth="1"/>
    <col min="5893" max="5893" width="18" style="938" bestFit="1" customWidth="1"/>
    <col min="5894" max="5894" width="18.140625" style="938" customWidth="1"/>
    <col min="5895" max="5895" width="11.28515625" style="938" customWidth="1"/>
    <col min="5896" max="5896" width="33" style="938" customWidth="1"/>
    <col min="5897" max="5898" width="9.140625" style="938"/>
    <col min="5899" max="5899" width="21.140625" style="938" customWidth="1"/>
    <col min="5900" max="6144" width="9.140625" style="938"/>
    <col min="6145" max="6145" width="7.140625" style="938" customWidth="1"/>
    <col min="6146" max="6146" width="26.7109375" style="938" customWidth="1"/>
    <col min="6147" max="6147" width="46.140625" style="938" customWidth="1"/>
    <col min="6148" max="6148" width="18.42578125" style="938" customWidth="1"/>
    <col min="6149" max="6149" width="18" style="938" bestFit="1" customWidth="1"/>
    <col min="6150" max="6150" width="18.140625" style="938" customWidth="1"/>
    <col min="6151" max="6151" width="11.28515625" style="938" customWidth="1"/>
    <col min="6152" max="6152" width="33" style="938" customWidth="1"/>
    <col min="6153" max="6154" width="9.140625" style="938"/>
    <col min="6155" max="6155" width="21.140625" style="938" customWidth="1"/>
    <col min="6156" max="6400" width="9.140625" style="938"/>
    <col min="6401" max="6401" width="7.140625" style="938" customWidth="1"/>
    <col min="6402" max="6402" width="26.7109375" style="938" customWidth="1"/>
    <col min="6403" max="6403" width="46.140625" style="938" customWidth="1"/>
    <col min="6404" max="6404" width="18.42578125" style="938" customWidth="1"/>
    <col min="6405" max="6405" width="18" style="938" bestFit="1" customWidth="1"/>
    <col min="6406" max="6406" width="18.140625" style="938" customWidth="1"/>
    <col min="6407" max="6407" width="11.28515625" style="938" customWidth="1"/>
    <col min="6408" max="6408" width="33" style="938" customWidth="1"/>
    <col min="6409" max="6410" width="9.140625" style="938"/>
    <col min="6411" max="6411" width="21.140625" style="938" customWidth="1"/>
    <col min="6412" max="6656" width="9.140625" style="938"/>
    <col min="6657" max="6657" width="7.140625" style="938" customWidth="1"/>
    <col min="6658" max="6658" width="26.7109375" style="938" customWidth="1"/>
    <col min="6659" max="6659" width="46.140625" style="938" customWidth="1"/>
    <col min="6660" max="6660" width="18.42578125" style="938" customWidth="1"/>
    <col min="6661" max="6661" width="18" style="938" bestFit="1" customWidth="1"/>
    <col min="6662" max="6662" width="18.140625" style="938" customWidth="1"/>
    <col min="6663" max="6663" width="11.28515625" style="938" customWidth="1"/>
    <col min="6664" max="6664" width="33" style="938" customWidth="1"/>
    <col min="6665" max="6666" width="9.140625" style="938"/>
    <col min="6667" max="6667" width="21.140625" style="938" customWidth="1"/>
    <col min="6668" max="6912" width="9.140625" style="938"/>
    <col min="6913" max="6913" width="7.140625" style="938" customWidth="1"/>
    <col min="6914" max="6914" width="26.7109375" style="938" customWidth="1"/>
    <col min="6915" max="6915" width="46.140625" style="938" customWidth="1"/>
    <col min="6916" max="6916" width="18.42578125" style="938" customWidth="1"/>
    <col min="6917" max="6917" width="18" style="938" bestFit="1" customWidth="1"/>
    <col min="6918" max="6918" width="18.140625" style="938" customWidth="1"/>
    <col min="6919" max="6919" width="11.28515625" style="938" customWidth="1"/>
    <col min="6920" max="6920" width="33" style="938" customWidth="1"/>
    <col min="6921" max="6922" width="9.140625" style="938"/>
    <col min="6923" max="6923" width="21.140625" style="938" customWidth="1"/>
    <col min="6924" max="7168" width="9.140625" style="938"/>
    <col min="7169" max="7169" width="7.140625" style="938" customWidth="1"/>
    <col min="7170" max="7170" width="26.7109375" style="938" customWidth="1"/>
    <col min="7171" max="7171" width="46.140625" style="938" customWidth="1"/>
    <col min="7172" max="7172" width="18.42578125" style="938" customWidth="1"/>
    <col min="7173" max="7173" width="18" style="938" bestFit="1" customWidth="1"/>
    <col min="7174" max="7174" width="18.140625" style="938" customWidth="1"/>
    <col min="7175" max="7175" width="11.28515625" style="938" customWidth="1"/>
    <col min="7176" max="7176" width="33" style="938" customWidth="1"/>
    <col min="7177" max="7178" width="9.140625" style="938"/>
    <col min="7179" max="7179" width="21.140625" style="938" customWidth="1"/>
    <col min="7180" max="7424" width="9.140625" style="938"/>
    <col min="7425" max="7425" width="7.140625" style="938" customWidth="1"/>
    <col min="7426" max="7426" width="26.7109375" style="938" customWidth="1"/>
    <col min="7427" max="7427" width="46.140625" style="938" customWidth="1"/>
    <col min="7428" max="7428" width="18.42578125" style="938" customWidth="1"/>
    <col min="7429" max="7429" width="18" style="938" bestFit="1" customWidth="1"/>
    <col min="7430" max="7430" width="18.140625" style="938" customWidth="1"/>
    <col min="7431" max="7431" width="11.28515625" style="938" customWidth="1"/>
    <col min="7432" max="7432" width="33" style="938" customWidth="1"/>
    <col min="7433" max="7434" width="9.140625" style="938"/>
    <col min="7435" max="7435" width="21.140625" style="938" customWidth="1"/>
    <col min="7436" max="7680" width="9.140625" style="938"/>
    <col min="7681" max="7681" width="7.140625" style="938" customWidth="1"/>
    <col min="7682" max="7682" width="26.7109375" style="938" customWidth="1"/>
    <col min="7683" max="7683" width="46.140625" style="938" customWidth="1"/>
    <col min="7684" max="7684" width="18.42578125" style="938" customWidth="1"/>
    <col min="7685" max="7685" width="18" style="938" bestFit="1" customWidth="1"/>
    <col min="7686" max="7686" width="18.140625" style="938" customWidth="1"/>
    <col min="7687" max="7687" width="11.28515625" style="938" customWidth="1"/>
    <col min="7688" max="7688" width="33" style="938" customWidth="1"/>
    <col min="7689" max="7690" width="9.140625" style="938"/>
    <col min="7691" max="7691" width="21.140625" style="938" customWidth="1"/>
    <col min="7692" max="7936" width="9.140625" style="938"/>
    <col min="7937" max="7937" width="7.140625" style="938" customWidth="1"/>
    <col min="7938" max="7938" width="26.7109375" style="938" customWidth="1"/>
    <col min="7939" max="7939" width="46.140625" style="938" customWidth="1"/>
    <col min="7940" max="7940" width="18.42578125" style="938" customWidth="1"/>
    <col min="7941" max="7941" width="18" style="938" bestFit="1" customWidth="1"/>
    <col min="7942" max="7942" width="18.140625" style="938" customWidth="1"/>
    <col min="7943" max="7943" width="11.28515625" style="938" customWidth="1"/>
    <col min="7944" max="7944" width="33" style="938" customWidth="1"/>
    <col min="7945" max="7946" width="9.140625" style="938"/>
    <col min="7947" max="7947" width="21.140625" style="938" customWidth="1"/>
    <col min="7948" max="8192" width="9.140625" style="938"/>
    <col min="8193" max="8193" width="7.140625" style="938" customWidth="1"/>
    <col min="8194" max="8194" width="26.7109375" style="938" customWidth="1"/>
    <col min="8195" max="8195" width="46.140625" style="938" customWidth="1"/>
    <col min="8196" max="8196" width="18.42578125" style="938" customWidth="1"/>
    <col min="8197" max="8197" width="18" style="938" bestFit="1" customWidth="1"/>
    <col min="8198" max="8198" width="18.140625" style="938" customWidth="1"/>
    <col min="8199" max="8199" width="11.28515625" style="938" customWidth="1"/>
    <col min="8200" max="8200" width="33" style="938" customWidth="1"/>
    <col min="8201" max="8202" width="9.140625" style="938"/>
    <col min="8203" max="8203" width="21.140625" style="938" customWidth="1"/>
    <col min="8204" max="8448" width="9.140625" style="938"/>
    <col min="8449" max="8449" width="7.140625" style="938" customWidth="1"/>
    <col min="8450" max="8450" width="26.7109375" style="938" customWidth="1"/>
    <col min="8451" max="8451" width="46.140625" style="938" customWidth="1"/>
    <col min="8452" max="8452" width="18.42578125" style="938" customWidth="1"/>
    <col min="8453" max="8453" width="18" style="938" bestFit="1" customWidth="1"/>
    <col min="8454" max="8454" width="18.140625" style="938" customWidth="1"/>
    <col min="8455" max="8455" width="11.28515625" style="938" customWidth="1"/>
    <col min="8456" max="8456" width="33" style="938" customWidth="1"/>
    <col min="8457" max="8458" width="9.140625" style="938"/>
    <col min="8459" max="8459" width="21.140625" style="938" customWidth="1"/>
    <col min="8460" max="8704" width="9.140625" style="938"/>
    <col min="8705" max="8705" width="7.140625" style="938" customWidth="1"/>
    <col min="8706" max="8706" width="26.7109375" style="938" customWidth="1"/>
    <col min="8707" max="8707" width="46.140625" style="938" customWidth="1"/>
    <col min="8708" max="8708" width="18.42578125" style="938" customWidth="1"/>
    <col min="8709" max="8709" width="18" style="938" bestFit="1" customWidth="1"/>
    <col min="8710" max="8710" width="18.140625" style="938" customWidth="1"/>
    <col min="8711" max="8711" width="11.28515625" style="938" customWidth="1"/>
    <col min="8712" max="8712" width="33" style="938" customWidth="1"/>
    <col min="8713" max="8714" width="9.140625" style="938"/>
    <col min="8715" max="8715" width="21.140625" style="938" customWidth="1"/>
    <col min="8716" max="8960" width="9.140625" style="938"/>
    <col min="8961" max="8961" width="7.140625" style="938" customWidth="1"/>
    <col min="8962" max="8962" width="26.7109375" style="938" customWidth="1"/>
    <col min="8963" max="8963" width="46.140625" style="938" customWidth="1"/>
    <col min="8964" max="8964" width="18.42578125" style="938" customWidth="1"/>
    <col min="8965" max="8965" width="18" style="938" bestFit="1" customWidth="1"/>
    <col min="8966" max="8966" width="18.140625" style="938" customWidth="1"/>
    <col min="8967" max="8967" width="11.28515625" style="938" customWidth="1"/>
    <col min="8968" max="8968" width="33" style="938" customWidth="1"/>
    <col min="8969" max="8970" width="9.140625" style="938"/>
    <col min="8971" max="8971" width="21.140625" style="938" customWidth="1"/>
    <col min="8972" max="9216" width="9.140625" style="938"/>
    <col min="9217" max="9217" width="7.140625" style="938" customWidth="1"/>
    <col min="9218" max="9218" width="26.7109375" style="938" customWidth="1"/>
    <col min="9219" max="9219" width="46.140625" style="938" customWidth="1"/>
    <col min="9220" max="9220" width="18.42578125" style="938" customWidth="1"/>
    <col min="9221" max="9221" width="18" style="938" bestFit="1" customWidth="1"/>
    <col min="9222" max="9222" width="18.140625" style="938" customWidth="1"/>
    <col min="9223" max="9223" width="11.28515625" style="938" customWidth="1"/>
    <col min="9224" max="9224" width="33" style="938" customWidth="1"/>
    <col min="9225" max="9226" width="9.140625" style="938"/>
    <col min="9227" max="9227" width="21.140625" style="938" customWidth="1"/>
    <col min="9228" max="9472" width="9.140625" style="938"/>
    <col min="9473" max="9473" width="7.140625" style="938" customWidth="1"/>
    <col min="9474" max="9474" width="26.7109375" style="938" customWidth="1"/>
    <col min="9475" max="9475" width="46.140625" style="938" customWidth="1"/>
    <col min="9476" max="9476" width="18.42578125" style="938" customWidth="1"/>
    <col min="9477" max="9477" width="18" style="938" bestFit="1" customWidth="1"/>
    <col min="9478" max="9478" width="18.140625" style="938" customWidth="1"/>
    <col min="9479" max="9479" width="11.28515625" style="938" customWidth="1"/>
    <col min="9480" max="9480" width="33" style="938" customWidth="1"/>
    <col min="9481" max="9482" width="9.140625" style="938"/>
    <col min="9483" max="9483" width="21.140625" style="938" customWidth="1"/>
    <col min="9484" max="9728" width="9.140625" style="938"/>
    <col min="9729" max="9729" width="7.140625" style="938" customWidth="1"/>
    <col min="9730" max="9730" width="26.7109375" style="938" customWidth="1"/>
    <col min="9731" max="9731" width="46.140625" style="938" customWidth="1"/>
    <col min="9732" max="9732" width="18.42578125" style="938" customWidth="1"/>
    <col min="9733" max="9733" width="18" style="938" bestFit="1" customWidth="1"/>
    <col min="9734" max="9734" width="18.140625" style="938" customWidth="1"/>
    <col min="9735" max="9735" width="11.28515625" style="938" customWidth="1"/>
    <col min="9736" max="9736" width="33" style="938" customWidth="1"/>
    <col min="9737" max="9738" width="9.140625" style="938"/>
    <col min="9739" max="9739" width="21.140625" style="938" customWidth="1"/>
    <col min="9740" max="9984" width="9.140625" style="938"/>
    <col min="9985" max="9985" width="7.140625" style="938" customWidth="1"/>
    <col min="9986" max="9986" width="26.7109375" style="938" customWidth="1"/>
    <col min="9987" max="9987" width="46.140625" style="938" customWidth="1"/>
    <col min="9988" max="9988" width="18.42578125" style="938" customWidth="1"/>
    <col min="9989" max="9989" width="18" style="938" bestFit="1" customWidth="1"/>
    <col min="9990" max="9990" width="18.140625" style="938" customWidth="1"/>
    <col min="9991" max="9991" width="11.28515625" style="938" customWidth="1"/>
    <col min="9992" max="9992" width="33" style="938" customWidth="1"/>
    <col min="9993" max="9994" width="9.140625" style="938"/>
    <col min="9995" max="9995" width="21.140625" style="938" customWidth="1"/>
    <col min="9996" max="10240" width="9.140625" style="938"/>
    <col min="10241" max="10241" width="7.140625" style="938" customWidth="1"/>
    <col min="10242" max="10242" width="26.7109375" style="938" customWidth="1"/>
    <col min="10243" max="10243" width="46.140625" style="938" customWidth="1"/>
    <col min="10244" max="10244" width="18.42578125" style="938" customWidth="1"/>
    <col min="10245" max="10245" width="18" style="938" bestFit="1" customWidth="1"/>
    <col min="10246" max="10246" width="18.140625" style="938" customWidth="1"/>
    <col min="10247" max="10247" width="11.28515625" style="938" customWidth="1"/>
    <col min="10248" max="10248" width="33" style="938" customWidth="1"/>
    <col min="10249" max="10250" width="9.140625" style="938"/>
    <col min="10251" max="10251" width="21.140625" style="938" customWidth="1"/>
    <col min="10252" max="10496" width="9.140625" style="938"/>
    <col min="10497" max="10497" width="7.140625" style="938" customWidth="1"/>
    <col min="10498" max="10498" width="26.7109375" style="938" customWidth="1"/>
    <col min="10499" max="10499" width="46.140625" style="938" customWidth="1"/>
    <col min="10500" max="10500" width="18.42578125" style="938" customWidth="1"/>
    <col min="10501" max="10501" width="18" style="938" bestFit="1" customWidth="1"/>
    <col min="10502" max="10502" width="18.140625" style="938" customWidth="1"/>
    <col min="10503" max="10503" width="11.28515625" style="938" customWidth="1"/>
    <col min="10504" max="10504" width="33" style="938" customWidth="1"/>
    <col min="10505" max="10506" width="9.140625" style="938"/>
    <col min="10507" max="10507" width="21.140625" style="938" customWidth="1"/>
    <col min="10508" max="10752" width="9.140625" style="938"/>
    <col min="10753" max="10753" width="7.140625" style="938" customWidth="1"/>
    <col min="10754" max="10754" width="26.7109375" style="938" customWidth="1"/>
    <col min="10755" max="10755" width="46.140625" style="938" customWidth="1"/>
    <col min="10756" max="10756" width="18.42578125" style="938" customWidth="1"/>
    <col min="10757" max="10757" width="18" style="938" bestFit="1" customWidth="1"/>
    <col min="10758" max="10758" width="18.140625" style="938" customWidth="1"/>
    <col min="10759" max="10759" width="11.28515625" style="938" customWidth="1"/>
    <col min="10760" max="10760" width="33" style="938" customWidth="1"/>
    <col min="10761" max="10762" width="9.140625" style="938"/>
    <col min="10763" max="10763" width="21.140625" style="938" customWidth="1"/>
    <col min="10764" max="11008" width="9.140625" style="938"/>
    <col min="11009" max="11009" width="7.140625" style="938" customWidth="1"/>
    <col min="11010" max="11010" width="26.7109375" style="938" customWidth="1"/>
    <col min="11011" max="11011" width="46.140625" style="938" customWidth="1"/>
    <col min="11012" max="11012" width="18.42578125" style="938" customWidth="1"/>
    <col min="11013" max="11013" width="18" style="938" bestFit="1" customWidth="1"/>
    <col min="11014" max="11014" width="18.140625" style="938" customWidth="1"/>
    <col min="11015" max="11015" width="11.28515625" style="938" customWidth="1"/>
    <col min="11016" max="11016" width="33" style="938" customWidth="1"/>
    <col min="11017" max="11018" width="9.140625" style="938"/>
    <col min="11019" max="11019" width="21.140625" style="938" customWidth="1"/>
    <col min="11020" max="11264" width="9.140625" style="938"/>
    <col min="11265" max="11265" width="7.140625" style="938" customWidth="1"/>
    <col min="11266" max="11266" width="26.7109375" style="938" customWidth="1"/>
    <col min="11267" max="11267" width="46.140625" style="938" customWidth="1"/>
    <col min="11268" max="11268" width="18.42578125" style="938" customWidth="1"/>
    <col min="11269" max="11269" width="18" style="938" bestFit="1" customWidth="1"/>
    <col min="11270" max="11270" width="18.140625" style="938" customWidth="1"/>
    <col min="11271" max="11271" width="11.28515625" style="938" customWidth="1"/>
    <col min="11272" max="11272" width="33" style="938" customWidth="1"/>
    <col min="11273" max="11274" width="9.140625" style="938"/>
    <col min="11275" max="11275" width="21.140625" style="938" customWidth="1"/>
    <col min="11276" max="11520" width="9.140625" style="938"/>
    <col min="11521" max="11521" width="7.140625" style="938" customWidth="1"/>
    <col min="11522" max="11522" width="26.7109375" style="938" customWidth="1"/>
    <col min="11523" max="11523" width="46.140625" style="938" customWidth="1"/>
    <col min="11524" max="11524" width="18.42578125" style="938" customWidth="1"/>
    <col min="11525" max="11525" width="18" style="938" bestFit="1" customWidth="1"/>
    <col min="11526" max="11526" width="18.140625" style="938" customWidth="1"/>
    <col min="11527" max="11527" width="11.28515625" style="938" customWidth="1"/>
    <col min="11528" max="11528" width="33" style="938" customWidth="1"/>
    <col min="11529" max="11530" width="9.140625" style="938"/>
    <col min="11531" max="11531" width="21.140625" style="938" customWidth="1"/>
    <col min="11532" max="11776" width="9.140625" style="938"/>
    <col min="11777" max="11777" width="7.140625" style="938" customWidth="1"/>
    <col min="11778" max="11778" width="26.7109375" style="938" customWidth="1"/>
    <col min="11779" max="11779" width="46.140625" style="938" customWidth="1"/>
    <col min="11780" max="11780" width="18.42578125" style="938" customWidth="1"/>
    <col min="11781" max="11781" width="18" style="938" bestFit="1" customWidth="1"/>
    <col min="11782" max="11782" width="18.140625" style="938" customWidth="1"/>
    <col min="11783" max="11783" width="11.28515625" style="938" customWidth="1"/>
    <col min="11784" max="11784" width="33" style="938" customWidth="1"/>
    <col min="11785" max="11786" width="9.140625" style="938"/>
    <col min="11787" max="11787" width="21.140625" style="938" customWidth="1"/>
    <col min="11788" max="12032" width="9.140625" style="938"/>
    <col min="12033" max="12033" width="7.140625" style="938" customWidth="1"/>
    <col min="12034" max="12034" width="26.7109375" style="938" customWidth="1"/>
    <col min="12035" max="12035" width="46.140625" style="938" customWidth="1"/>
    <col min="12036" max="12036" width="18.42578125" style="938" customWidth="1"/>
    <col min="12037" max="12037" width="18" style="938" bestFit="1" customWidth="1"/>
    <col min="12038" max="12038" width="18.140625" style="938" customWidth="1"/>
    <col min="12039" max="12039" width="11.28515625" style="938" customWidth="1"/>
    <col min="12040" max="12040" width="33" style="938" customWidth="1"/>
    <col min="12041" max="12042" width="9.140625" style="938"/>
    <col min="12043" max="12043" width="21.140625" style="938" customWidth="1"/>
    <col min="12044" max="12288" width="9.140625" style="938"/>
    <col min="12289" max="12289" width="7.140625" style="938" customWidth="1"/>
    <col min="12290" max="12290" width="26.7109375" style="938" customWidth="1"/>
    <col min="12291" max="12291" width="46.140625" style="938" customWidth="1"/>
    <col min="12292" max="12292" width="18.42578125" style="938" customWidth="1"/>
    <col min="12293" max="12293" width="18" style="938" bestFit="1" customWidth="1"/>
    <col min="12294" max="12294" width="18.140625" style="938" customWidth="1"/>
    <col min="12295" max="12295" width="11.28515625" style="938" customWidth="1"/>
    <col min="12296" max="12296" width="33" style="938" customWidth="1"/>
    <col min="12297" max="12298" width="9.140625" style="938"/>
    <col min="12299" max="12299" width="21.140625" style="938" customWidth="1"/>
    <col min="12300" max="12544" width="9.140625" style="938"/>
    <col min="12545" max="12545" width="7.140625" style="938" customWidth="1"/>
    <col min="12546" max="12546" width="26.7109375" style="938" customWidth="1"/>
    <col min="12547" max="12547" width="46.140625" style="938" customWidth="1"/>
    <col min="12548" max="12548" width="18.42578125" style="938" customWidth="1"/>
    <col min="12549" max="12549" width="18" style="938" bestFit="1" customWidth="1"/>
    <col min="12550" max="12550" width="18.140625" style="938" customWidth="1"/>
    <col min="12551" max="12551" width="11.28515625" style="938" customWidth="1"/>
    <col min="12552" max="12552" width="33" style="938" customWidth="1"/>
    <col min="12553" max="12554" width="9.140625" style="938"/>
    <col min="12555" max="12555" width="21.140625" style="938" customWidth="1"/>
    <col min="12556" max="12800" width="9.140625" style="938"/>
    <col min="12801" max="12801" width="7.140625" style="938" customWidth="1"/>
    <col min="12802" max="12802" width="26.7109375" style="938" customWidth="1"/>
    <col min="12803" max="12803" width="46.140625" style="938" customWidth="1"/>
    <col min="12804" max="12804" width="18.42578125" style="938" customWidth="1"/>
    <col min="12805" max="12805" width="18" style="938" bestFit="1" customWidth="1"/>
    <col min="12806" max="12806" width="18.140625" style="938" customWidth="1"/>
    <col min="12807" max="12807" width="11.28515625" style="938" customWidth="1"/>
    <col min="12808" max="12808" width="33" style="938" customWidth="1"/>
    <col min="12809" max="12810" width="9.140625" style="938"/>
    <col min="12811" max="12811" width="21.140625" style="938" customWidth="1"/>
    <col min="12812" max="13056" width="9.140625" style="938"/>
    <col min="13057" max="13057" width="7.140625" style="938" customWidth="1"/>
    <col min="13058" max="13058" width="26.7109375" style="938" customWidth="1"/>
    <col min="13059" max="13059" width="46.140625" style="938" customWidth="1"/>
    <col min="13060" max="13060" width="18.42578125" style="938" customWidth="1"/>
    <col min="13061" max="13061" width="18" style="938" bestFit="1" customWidth="1"/>
    <col min="13062" max="13062" width="18.140625" style="938" customWidth="1"/>
    <col min="13063" max="13063" width="11.28515625" style="938" customWidth="1"/>
    <col min="13064" max="13064" width="33" style="938" customWidth="1"/>
    <col min="13065" max="13066" width="9.140625" style="938"/>
    <col min="13067" max="13067" width="21.140625" style="938" customWidth="1"/>
    <col min="13068" max="13312" width="9.140625" style="938"/>
    <col min="13313" max="13313" width="7.140625" style="938" customWidth="1"/>
    <col min="13314" max="13314" width="26.7109375" style="938" customWidth="1"/>
    <col min="13315" max="13315" width="46.140625" style="938" customWidth="1"/>
    <col min="13316" max="13316" width="18.42578125" style="938" customWidth="1"/>
    <col min="13317" max="13317" width="18" style="938" bestFit="1" customWidth="1"/>
    <col min="13318" max="13318" width="18.140625" style="938" customWidth="1"/>
    <col min="13319" max="13319" width="11.28515625" style="938" customWidth="1"/>
    <col min="13320" max="13320" width="33" style="938" customWidth="1"/>
    <col min="13321" max="13322" width="9.140625" style="938"/>
    <col min="13323" max="13323" width="21.140625" style="938" customWidth="1"/>
    <col min="13324" max="13568" width="9.140625" style="938"/>
    <col min="13569" max="13569" width="7.140625" style="938" customWidth="1"/>
    <col min="13570" max="13570" width="26.7109375" style="938" customWidth="1"/>
    <col min="13571" max="13571" width="46.140625" style="938" customWidth="1"/>
    <col min="13572" max="13572" width="18.42578125" style="938" customWidth="1"/>
    <col min="13573" max="13573" width="18" style="938" bestFit="1" customWidth="1"/>
    <col min="13574" max="13574" width="18.140625" style="938" customWidth="1"/>
    <col min="13575" max="13575" width="11.28515625" style="938" customWidth="1"/>
    <col min="13576" max="13576" width="33" style="938" customWidth="1"/>
    <col min="13577" max="13578" width="9.140625" style="938"/>
    <col min="13579" max="13579" width="21.140625" style="938" customWidth="1"/>
    <col min="13580" max="13824" width="9.140625" style="938"/>
    <col min="13825" max="13825" width="7.140625" style="938" customWidth="1"/>
    <col min="13826" max="13826" width="26.7109375" style="938" customWidth="1"/>
    <col min="13827" max="13827" width="46.140625" style="938" customWidth="1"/>
    <col min="13828" max="13828" width="18.42578125" style="938" customWidth="1"/>
    <col min="13829" max="13829" width="18" style="938" bestFit="1" customWidth="1"/>
    <col min="13830" max="13830" width="18.140625" style="938" customWidth="1"/>
    <col min="13831" max="13831" width="11.28515625" style="938" customWidth="1"/>
    <col min="13832" max="13832" width="33" style="938" customWidth="1"/>
    <col min="13833" max="13834" width="9.140625" style="938"/>
    <col min="13835" max="13835" width="21.140625" style="938" customWidth="1"/>
    <col min="13836" max="14080" width="9.140625" style="938"/>
    <col min="14081" max="14081" width="7.140625" style="938" customWidth="1"/>
    <col min="14082" max="14082" width="26.7109375" style="938" customWidth="1"/>
    <col min="14083" max="14083" width="46.140625" style="938" customWidth="1"/>
    <col min="14084" max="14084" width="18.42578125" style="938" customWidth="1"/>
    <col min="14085" max="14085" width="18" style="938" bestFit="1" customWidth="1"/>
    <col min="14086" max="14086" width="18.140625" style="938" customWidth="1"/>
    <col min="14087" max="14087" width="11.28515625" style="938" customWidth="1"/>
    <col min="14088" max="14088" width="33" style="938" customWidth="1"/>
    <col min="14089" max="14090" width="9.140625" style="938"/>
    <col min="14091" max="14091" width="21.140625" style="938" customWidth="1"/>
    <col min="14092" max="14336" width="9.140625" style="938"/>
    <col min="14337" max="14337" width="7.140625" style="938" customWidth="1"/>
    <col min="14338" max="14338" width="26.7109375" style="938" customWidth="1"/>
    <col min="14339" max="14339" width="46.140625" style="938" customWidth="1"/>
    <col min="14340" max="14340" width="18.42578125" style="938" customWidth="1"/>
    <col min="14341" max="14341" width="18" style="938" bestFit="1" customWidth="1"/>
    <col min="14342" max="14342" width="18.140625" style="938" customWidth="1"/>
    <col min="14343" max="14343" width="11.28515625" style="938" customWidth="1"/>
    <col min="14344" max="14344" width="33" style="938" customWidth="1"/>
    <col min="14345" max="14346" width="9.140625" style="938"/>
    <col min="14347" max="14347" width="21.140625" style="938" customWidth="1"/>
    <col min="14348" max="14592" width="9.140625" style="938"/>
    <col min="14593" max="14593" width="7.140625" style="938" customWidth="1"/>
    <col min="14594" max="14594" width="26.7109375" style="938" customWidth="1"/>
    <col min="14595" max="14595" width="46.140625" style="938" customWidth="1"/>
    <col min="14596" max="14596" width="18.42578125" style="938" customWidth="1"/>
    <col min="14597" max="14597" width="18" style="938" bestFit="1" customWidth="1"/>
    <col min="14598" max="14598" width="18.140625" style="938" customWidth="1"/>
    <col min="14599" max="14599" width="11.28515625" style="938" customWidth="1"/>
    <col min="14600" max="14600" width="33" style="938" customWidth="1"/>
    <col min="14601" max="14602" width="9.140625" style="938"/>
    <col min="14603" max="14603" width="21.140625" style="938" customWidth="1"/>
    <col min="14604" max="14848" width="9.140625" style="938"/>
    <col min="14849" max="14849" width="7.140625" style="938" customWidth="1"/>
    <col min="14850" max="14850" width="26.7109375" style="938" customWidth="1"/>
    <col min="14851" max="14851" width="46.140625" style="938" customWidth="1"/>
    <col min="14852" max="14852" width="18.42578125" style="938" customWidth="1"/>
    <col min="14853" max="14853" width="18" style="938" bestFit="1" customWidth="1"/>
    <col min="14854" max="14854" width="18.140625" style="938" customWidth="1"/>
    <col min="14855" max="14855" width="11.28515625" style="938" customWidth="1"/>
    <col min="14856" max="14856" width="33" style="938" customWidth="1"/>
    <col min="14857" max="14858" width="9.140625" style="938"/>
    <col min="14859" max="14859" width="21.140625" style="938" customWidth="1"/>
    <col min="14860" max="15104" width="9.140625" style="938"/>
    <col min="15105" max="15105" width="7.140625" style="938" customWidth="1"/>
    <col min="15106" max="15106" width="26.7109375" style="938" customWidth="1"/>
    <col min="15107" max="15107" width="46.140625" style="938" customWidth="1"/>
    <col min="15108" max="15108" width="18.42578125" style="938" customWidth="1"/>
    <col min="15109" max="15109" width="18" style="938" bestFit="1" customWidth="1"/>
    <col min="15110" max="15110" width="18.140625" style="938" customWidth="1"/>
    <col min="15111" max="15111" width="11.28515625" style="938" customWidth="1"/>
    <col min="15112" max="15112" width="33" style="938" customWidth="1"/>
    <col min="15113" max="15114" width="9.140625" style="938"/>
    <col min="15115" max="15115" width="21.140625" style="938" customWidth="1"/>
    <col min="15116" max="15360" width="9.140625" style="938"/>
    <col min="15361" max="15361" width="7.140625" style="938" customWidth="1"/>
    <col min="15362" max="15362" width="26.7109375" style="938" customWidth="1"/>
    <col min="15363" max="15363" width="46.140625" style="938" customWidth="1"/>
    <col min="15364" max="15364" width="18.42578125" style="938" customWidth="1"/>
    <col min="15365" max="15365" width="18" style="938" bestFit="1" customWidth="1"/>
    <col min="15366" max="15366" width="18.140625" style="938" customWidth="1"/>
    <col min="15367" max="15367" width="11.28515625" style="938" customWidth="1"/>
    <col min="15368" max="15368" width="33" style="938" customWidth="1"/>
    <col min="15369" max="15370" width="9.140625" style="938"/>
    <col min="15371" max="15371" width="21.140625" style="938" customWidth="1"/>
    <col min="15372" max="15616" width="9.140625" style="938"/>
    <col min="15617" max="15617" width="7.140625" style="938" customWidth="1"/>
    <col min="15618" max="15618" width="26.7109375" style="938" customWidth="1"/>
    <col min="15619" max="15619" width="46.140625" style="938" customWidth="1"/>
    <col min="15620" max="15620" width="18.42578125" style="938" customWidth="1"/>
    <col min="15621" max="15621" width="18" style="938" bestFit="1" customWidth="1"/>
    <col min="15622" max="15622" width="18.140625" style="938" customWidth="1"/>
    <col min="15623" max="15623" width="11.28515625" style="938" customWidth="1"/>
    <col min="15624" max="15624" width="33" style="938" customWidth="1"/>
    <col min="15625" max="15626" width="9.140625" style="938"/>
    <col min="15627" max="15627" width="21.140625" style="938" customWidth="1"/>
    <col min="15628" max="15872" width="9.140625" style="938"/>
    <col min="15873" max="15873" width="7.140625" style="938" customWidth="1"/>
    <col min="15874" max="15874" width="26.7109375" style="938" customWidth="1"/>
    <col min="15875" max="15875" width="46.140625" style="938" customWidth="1"/>
    <col min="15876" max="15876" width="18.42578125" style="938" customWidth="1"/>
    <col min="15877" max="15877" width="18" style="938" bestFit="1" customWidth="1"/>
    <col min="15878" max="15878" width="18.140625" style="938" customWidth="1"/>
    <col min="15879" max="15879" width="11.28515625" style="938" customWidth="1"/>
    <col min="15880" max="15880" width="33" style="938" customWidth="1"/>
    <col min="15881" max="15882" width="9.140625" style="938"/>
    <col min="15883" max="15883" width="21.140625" style="938" customWidth="1"/>
    <col min="15884" max="16128" width="9.140625" style="938"/>
    <col min="16129" max="16129" width="7.140625" style="938" customWidth="1"/>
    <col min="16130" max="16130" width="26.7109375" style="938" customWidth="1"/>
    <col min="16131" max="16131" width="46.140625" style="938" customWidth="1"/>
    <col min="16132" max="16132" width="18.42578125" style="938" customWidth="1"/>
    <col min="16133" max="16133" width="18" style="938" bestFit="1" customWidth="1"/>
    <col min="16134" max="16134" width="18.140625" style="938" customWidth="1"/>
    <col min="16135" max="16135" width="11.28515625" style="938" customWidth="1"/>
    <col min="16136" max="16136" width="33" style="938" customWidth="1"/>
    <col min="16137" max="16138" width="9.140625" style="938"/>
    <col min="16139" max="16139" width="21.140625" style="938" customWidth="1"/>
    <col min="16140" max="16384" width="9.140625" style="938"/>
  </cols>
  <sheetData>
    <row r="1" spans="1:10">
      <c r="A1" s="937"/>
      <c r="F1" s="1114" t="s">
        <v>1007</v>
      </c>
      <c r="G1" s="1114"/>
      <c r="H1" s="1114"/>
    </row>
    <row r="2" spans="1:10" ht="15.75">
      <c r="A2" s="1115" t="s">
        <v>1008</v>
      </c>
      <c r="B2" s="1115"/>
      <c r="C2" s="1115"/>
      <c r="D2" s="1115"/>
      <c r="E2" s="1115"/>
      <c r="F2" s="1115"/>
      <c r="G2" s="1115"/>
      <c r="H2" s="1115"/>
    </row>
    <row r="3" spans="1:10" ht="15.75">
      <c r="A3" s="1116" t="s">
        <v>1091</v>
      </c>
      <c r="B3" s="1116"/>
      <c r="C3" s="1116"/>
      <c r="D3" s="1116"/>
      <c r="E3" s="1116"/>
      <c r="F3" s="1116"/>
      <c r="G3" s="1116"/>
      <c r="H3" s="1116"/>
    </row>
    <row r="4" spans="1:10" ht="16.5">
      <c r="A4" s="940"/>
      <c r="B4" s="940"/>
      <c r="C4" s="940"/>
      <c r="D4" s="941"/>
      <c r="E4" s="941"/>
      <c r="F4" s="1117" t="s">
        <v>518</v>
      </c>
      <c r="G4" s="1117"/>
      <c r="H4" s="1117"/>
    </row>
    <row r="5" spans="1:10" ht="47.25">
      <c r="A5" s="872" t="s">
        <v>0</v>
      </c>
      <c r="B5" s="872" t="s">
        <v>519</v>
      </c>
      <c r="C5" s="872" t="s">
        <v>122</v>
      </c>
      <c r="D5" s="872" t="s">
        <v>780</v>
      </c>
      <c r="E5" s="872" t="s">
        <v>521</v>
      </c>
      <c r="F5" s="872" t="s">
        <v>522</v>
      </c>
      <c r="G5" s="872" t="s">
        <v>523</v>
      </c>
      <c r="H5" s="872" t="s">
        <v>910</v>
      </c>
    </row>
    <row r="6" spans="1:10" s="946" customFormat="1" ht="16.5" customHeight="1">
      <c r="A6" s="1118" t="s">
        <v>1009</v>
      </c>
      <c r="B6" s="1118"/>
      <c r="C6" s="1118"/>
      <c r="D6" s="942">
        <f>D7+D33+D94</f>
        <v>194678287726</v>
      </c>
      <c r="E6" s="942">
        <f>E7+E33+E94</f>
        <v>187573905899</v>
      </c>
      <c r="F6" s="942">
        <f>F7+F33+F94</f>
        <v>7104381827</v>
      </c>
      <c r="G6" s="943">
        <f>+E6/D6</f>
        <v>0.96350706640178041</v>
      </c>
      <c r="H6" s="944"/>
      <c r="I6" s="945"/>
      <c r="J6" s="945"/>
    </row>
    <row r="7" spans="1:10" ht="16.5" customHeight="1">
      <c r="A7" s="947" t="s">
        <v>4</v>
      </c>
      <c r="B7" s="948" t="s">
        <v>1010</v>
      </c>
      <c r="C7" s="949"/>
      <c r="D7" s="950">
        <f>D8+D18</f>
        <v>13218070649</v>
      </c>
      <c r="E7" s="950">
        <f>E8+E18</f>
        <v>10195254694</v>
      </c>
      <c r="F7" s="951">
        <f t="shared" ref="F7:F40" si="0">D7-E7</f>
        <v>3022815955</v>
      </c>
      <c r="G7" s="952">
        <f>+E7/D7</f>
        <v>0.77131186273174535</v>
      </c>
      <c r="H7" s="876"/>
      <c r="I7" s="953"/>
      <c r="J7" s="953"/>
    </row>
    <row r="8" spans="1:10" s="960" customFormat="1" ht="16.5" customHeight="1">
      <c r="A8" s="954" t="s">
        <v>6</v>
      </c>
      <c r="B8" s="955" t="s">
        <v>1011</v>
      </c>
      <c r="C8" s="956"/>
      <c r="D8" s="957">
        <f>D9+D14</f>
        <v>4433530779</v>
      </c>
      <c r="E8" s="957">
        <f>E9+E14</f>
        <v>1410714824</v>
      </c>
      <c r="F8" s="957">
        <f>F9+F14</f>
        <v>3022815955</v>
      </c>
      <c r="G8" s="958">
        <f>+E8/D8</f>
        <v>0.31819218007508504</v>
      </c>
      <c r="H8" s="885"/>
      <c r="I8" s="953"/>
      <c r="J8" s="959"/>
    </row>
    <row r="9" spans="1:10" s="965" customFormat="1" ht="16.5" customHeight="1">
      <c r="A9" s="961">
        <v>1</v>
      </c>
      <c r="B9" s="962" t="s">
        <v>542</v>
      </c>
      <c r="C9" s="956"/>
      <c r="D9" s="956">
        <f>SUM(D10:D13)</f>
        <v>4369878183</v>
      </c>
      <c r="E9" s="956">
        <f>SUM(E10:E13)</f>
        <v>1347062228</v>
      </c>
      <c r="F9" s="956">
        <f>SUM(F10:F13)</f>
        <v>3022815955</v>
      </c>
      <c r="G9" s="958">
        <f>+E9/D9</f>
        <v>0.30826081908654429</v>
      </c>
      <c r="H9" s="963"/>
      <c r="I9" s="953"/>
      <c r="J9" s="964"/>
    </row>
    <row r="10" spans="1:10" s="972" customFormat="1" ht="72.75" customHeight="1">
      <c r="A10" s="890" t="s">
        <v>128</v>
      </c>
      <c r="B10" s="966" t="s">
        <v>1012</v>
      </c>
      <c r="C10" s="967"/>
      <c r="D10" s="894">
        <v>4330812503</v>
      </c>
      <c r="E10" s="894">
        <f>1241961854+547922+65486772</f>
        <v>1307996548</v>
      </c>
      <c r="F10" s="968">
        <f t="shared" si="0"/>
        <v>3022815955</v>
      </c>
      <c r="G10" s="969">
        <f>+E10/D10</f>
        <v>0.30202105196055862</v>
      </c>
      <c r="H10" s="970" t="s">
        <v>1013</v>
      </c>
      <c r="I10" s="953"/>
      <c r="J10" s="971"/>
    </row>
    <row r="11" spans="1:10" s="972" customFormat="1" ht="16.5" hidden="1" customHeight="1">
      <c r="A11" s="973" t="s">
        <v>128</v>
      </c>
      <c r="B11" s="901" t="s">
        <v>1014</v>
      </c>
      <c r="C11" s="967"/>
      <c r="D11" s="894">
        <v>13935000</v>
      </c>
      <c r="E11" s="894">
        <f>D11</f>
        <v>13935000</v>
      </c>
      <c r="F11" s="974">
        <f t="shared" si="0"/>
        <v>0</v>
      </c>
      <c r="G11" s="969">
        <f t="shared" ref="G11:G74" si="1">+E11/D11</f>
        <v>1</v>
      </c>
      <c r="H11" s="975"/>
      <c r="I11" s="953"/>
      <c r="J11" s="971"/>
    </row>
    <row r="12" spans="1:10" s="972" customFormat="1" ht="16.5" hidden="1" customHeight="1">
      <c r="A12" s="973" t="s">
        <v>128</v>
      </c>
      <c r="B12" s="901" t="s">
        <v>1015</v>
      </c>
      <c r="C12" s="967" t="s">
        <v>1016</v>
      </c>
      <c r="D12" s="894">
        <v>10858500</v>
      </c>
      <c r="E12" s="894">
        <f>D12</f>
        <v>10858500</v>
      </c>
      <c r="F12" s="974">
        <f t="shared" si="0"/>
        <v>0</v>
      </c>
      <c r="G12" s="969">
        <f t="shared" si="1"/>
        <v>1</v>
      </c>
      <c r="H12" s="896"/>
      <c r="I12" s="953"/>
      <c r="J12" s="971"/>
    </row>
    <row r="13" spans="1:10" s="972" customFormat="1" ht="63" hidden="1">
      <c r="A13" s="973" t="s">
        <v>128</v>
      </c>
      <c r="B13" s="901" t="s">
        <v>1017</v>
      </c>
      <c r="C13" s="967" t="s">
        <v>1018</v>
      </c>
      <c r="D13" s="894">
        <v>14272180</v>
      </c>
      <c r="E13" s="894">
        <f>D13</f>
        <v>14272180</v>
      </c>
      <c r="F13" s="968">
        <f t="shared" si="0"/>
        <v>0</v>
      </c>
      <c r="G13" s="969">
        <f t="shared" si="1"/>
        <v>1</v>
      </c>
      <c r="H13" s="896"/>
      <c r="I13" s="953"/>
      <c r="J13" s="976"/>
    </row>
    <row r="14" spans="1:10" s="972" customFormat="1" ht="16.5" customHeight="1">
      <c r="A14" s="961">
        <v>2</v>
      </c>
      <c r="B14" s="977" t="s">
        <v>545</v>
      </c>
      <c r="C14" s="967"/>
      <c r="D14" s="978">
        <f>SUM(D15:D17)</f>
        <v>63652596</v>
      </c>
      <c r="E14" s="978">
        <f>SUM(E15:E17)</f>
        <v>63652596</v>
      </c>
      <c r="F14" s="978">
        <f>SUM(F15:F17)</f>
        <v>0</v>
      </c>
      <c r="G14" s="958">
        <f t="shared" si="1"/>
        <v>1</v>
      </c>
      <c r="H14" s="896"/>
      <c r="I14" s="953"/>
      <c r="J14" s="971"/>
    </row>
    <row r="15" spans="1:10" s="972" customFormat="1" ht="16.5" hidden="1" customHeight="1">
      <c r="A15" s="973" t="s">
        <v>1019</v>
      </c>
      <c r="B15" s="901" t="s">
        <v>566</v>
      </c>
      <c r="C15" s="967" t="s">
        <v>1020</v>
      </c>
      <c r="D15" s="894">
        <v>19790596</v>
      </c>
      <c r="E15" s="894">
        <f>D15</f>
        <v>19790596</v>
      </c>
      <c r="F15" s="974">
        <f t="shared" si="0"/>
        <v>0</v>
      </c>
      <c r="G15" s="969">
        <f t="shared" si="1"/>
        <v>1</v>
      </c>
      <c r="H15" s="975"/>
      <c r="I15" s="953"/>
      <c r="J15" s="971"/>
    </row>
    <row r="16" spans="1:10" s="972" customFormat="1" ht="16.5" hidden="1" customHeight="1">
      <c r="A16" s="973" t="s">
        <v>128</v>
      </c>
      <c r="B16" s="901" t="s">
        <v>99</v>
      </c>
      <c r="C16" s="967" t="s">
        <v>1021</v>
      </c>
      <c r="D16" s="894">
        <v>19412000</v>
      </c>
      <c r="E16" s="894">
        <f>D16</f>
        <v>19412000</v>
      </c>
      <c r="F16" s="974">
        <f t="shared" si="0"/>
        <v>0</v>
      </c>
      <c r="G16" s="969">
        <f t="shared" si="1"/>
        <v>1</v>
      </c>
      <c r="H16" s="975"/>
      <c r="I16" s="953"/>
      <c r="J16" s="971"/>
    </row>
    <row r="17" spans="1:10" s="972" customFormat="1" ht="16.5" hidden="1" customHeight="1">
      <c r="A17" s="973" t="s">
        <v>128</v>
      </c>
      <c r="B17" s="901" t="s">
        <v>44</v>
      </c>
      <c r="C17" s="967"/>
      <c r="D17" s="894">
        <v>24450000</v>
      </c>
      <c r="E17" s="894">
        <f>D17</f>
        <v>24450000</v>
      </c>
      <c r="F17" s="974">
        <f t="shared" si="0"/>
        <v>0</v>
      </c>
      <c r="G17" s="969">
        <f t="shared" si="1"/>
        <v>1</v>
      </c>
      <c r="H17" s="896"/>
      <c r="I17" s="953"/>
      <c r="J17" s="971"/>
    </row>
    <row r="18" spans="1:10" s="960" customFormat="1" ht="16.5" customHeight="1">
      <c r="A18" s="954" t="s">
        <v>1022</v>
      </c>
      <c r="B18" s="933" t="s">
        <v>1023</v>
      </c>
      <c r="C18" s="979"/>
      <c r="D18" s="905">
        <f>D19+D27</f>
        <v>8784539870</v>
      </c>
      <c r="E18" s="905">
        <f>E19+E27</f>
        <v>8784539870</v>
      </c>
      <c r="F18" s="980">
        <f t="shared" si="0"/>
        <v>0</v>
      </c>
      <c r="G18" s="958">
        <f t="shared" si="1"/>
        <v>1</v>
      </c>
      <c r="H18" s="896"/>
      <c r="I18" s="953"/>
      <c r="J18" s="959"/>
    </row>
    <row r="19" spans="1:10" s="965" customFormat="1" ht="16.5" hidden="1" customHeight="1">
      <c r="A19" s="961">
        <v>1</v>
      </c>
      <c r="B19" s="981" t="s">
        <v>542</v>
      </c>
      <c r="C19" s="982"/>
      <c r="D19" s="978">
        <f>SUM(D20:D26)</f>
        <v>8304497465</v>
      </c>
      <c r="E19" s="978">
        <f>SUM(E20:E26)</f>
        <v>8304497465</v>
      </c>
      <c r="F19" s="978">
        <f>SUM(F20:F26)</f>
        <v>0</v>
      </c>
      <c r="G19" s="958">
        <f t="shared" si="1"/>
        <v>1</v>
      </c>
      <c r="H19" s="963"/>
      <c r="I19" s="953"/>
      <c r="J19" s="964"/>
    </row>
    <row r="20" spans="1:10" s="972" customFormat="1" ht="16.5" hidden="1" customHeight="1">
      <c r="A20" s="973" t="s">
        <v>128</v>
      </c>
      <c r="B20" s="901" t="s">
        <v>1024</v>
      </c>
      <c r="C20" s="967" t="s">
        <v>1025</v>
      </c>
      <c r="D20" s="894">
        <v>168351668</v>
      </c>
      <c r="E20" s="894">
        <f>154174406+14177262</f>
        <v>168351668</v>
      </c>
      <c r="F20" s="974">
        <f t="shared" si="0"/>
        <v>0</v>
      </c>
      <c r="G20" s="969">
        <f t="shared" si="1"/>
        <v>1</v>
      </c>
      <c r="H20" s="896"/>
      <c r="I20" s="953"/>
      <c r="J20" s="971"/>
    </row>
    <row r="21" spans="1:10" s="972" customFormat="1" ht="16.5" hidden="1" customHeight="1">
      <c r="A21" s="973" t="s">
        <v>128</v>
      </c>
      <c r="B21" s="901"/>
      <c r="C21" s="967" t="s">
        <v>1026</v>
      </c>
      <c r="D21" s="894">
        <v>3428900000</v>
      </c>
      <c r="E21" s="894">
        <f t="shared" ref="E21:E26" si="2">D21</f>
        <v>3428900000</v>
      </c>
      <c r="F21" s="974">
        <f t="shared" si="0"/>
        <v>0</v>
      </c>
      <c r="G21" s="969">
        <f t="shared" si="1"/>
        <v>1</v>
      </c>
      <c r="H21" s="896"/>
      <c r="I21" s="953"/>
      <c r="J21" s="971"/>
    </row>
    <row r="22" spans="1:10" s="972" customFormat="1" ht="16.5" hidden="1" customHeight="1">
      <c r="A22" s="973" t="s">
        <v>128</v>
      </c>
      <c r="B22" s="901" t="s">
        <v>1015</v>
      </c>
      <c r="C22" s="967"/>
      <c r="D22" s="894">
        <v>31215208</v>
      </c>
      <c r="E22" s="894">
        <f t="shared" si="2"/>
        <v>31215208</v>
      </c>
      <c r="F22" s="974">
        <f t="shared" si="0"/>
        <v>0</v>
      </c>
      <c r="G22" s="969">
        <f t="shared" si="1"/>
        <v>1</v>
      </c>
      <c r="H22" s="896"/>
      <c r="I22" s="953"/>
      <c r="J22" s="971"/>
    </row>
    <row r="23" spans="1:10" s="972" customFormat="1" ht="16.5" hidden="1" customHeight="1">
      <c r="A23" s="973" t="s">
        <v>1027</v>
      </c>
      <c r="B23" s="901" t="s">
        <v>1028</v>
      </c>
      <c r="C23" s="967" t="s">
        <v>1029</v>
      </c>
      <c r="D23" s="894">
        <v>336777300</v>
      </c>
      <c r="E23" s="894">
        <f t="shared" si="2"/>
        <v>336777300</v>
      </c>
      <c r="F23" s="974">
        <f t="shared" si="0"/>
        <v>0</v>
      </c>
      <c r="G23" s="969">
        <f t="shared" si="1"/>
        <v>1</v>
      </c>
      <c r="H23" s="896"/>
      <c r="I23" s="953"/>
      <c r="J23" s="971"/>
    </row>
    <row r="24" spans="1:10" s="972" customFormat="1" ht="16.5" hidden="1" customHeight="1">
      <c r="A24" s="973" t="s">
        <v>1019</v>
      </c>
      <c r="B24" s="901" t="s">
        <v>1028</v>
      </c>
      <c r="C24" s="967" t="s">
        <v>1030</v>
      </c>
      <c r="D24" s="894">
        <v>595833314</v>
      </c>
      <c r="E24" s="894">
        <f t="shared" si="2"/>
        <v>595833314</v>
      </c>
      <c r="F24" s="974">
        <f t="shared" si="0"/>
        <v>0</v>
      </c>
      <c r="G24" s="969">
        <f t="shared" si="1"/>
        <v>1</v>
      </c>
      <c r="H24" s="896"/>
      <c r="I24" s="953"/>
      <c r="J24" s="971"/>
    </row>
    <row r="25" spans="1:10" s="972" customFormat="1" ht="16.5" hidden="1" customHeight="1">
      <c r="A25" s="973" t="s">
        <v>1019</v>
      </c>
      <c r="B25" s="966" t="s">
        <v>1031</v>
      </c>
      <c r="C25" s="967"/>
      <c r="D25" s="894">
        <v>682655600</v>
      </c>
      <c r="E25" s="894">
        <f t="shared" si="2"/>
        <v>682655600</v>
      </c>
      <c r="F25" s="974">
        <f t="shared" si="0"/>
        <v>0</v>
      </c>
      <c r="G25" s="969">
        <f t="shared" si="1"/>
        <v>1</v>
      </c>
      <c r="H25" s="896"/>
      <c r="I25" s="953"/>
      <c r="J25" s="971"/>
    </row>
    <row r="26" spans="1:10" s="972" customFormat="1" ht="16.5" hidden="1" customHeight="1">
      <c r="A26" s="973" t="s">
        <v>128</v>
      </c>
      <c r="B26" s="901" t="s">
        <v>1032</v>
      </c>
      <c r="C26" s="967" t="s">
        <v>1033</v>
      </c>
      <c r="D26" s="894">
        <v>3060764375</v>
      </c>
      <c r="E26" s="894">
        <f t="shared" si="2"/>
        <v>3060764375</v>
      </c>
      <c r="F26" s="974">
        <f t="shared" si="0"/>
        <v>0</v>
      </c>
      <c r="G26" s="969">
        <f t="shared" si="1"/>
        <v>1</v>
      </c>
      <c r="H26" s="896"/>
      <c r="I26" s="953"/>
      <c r="J26" s="971"/>
    </row>
    <row r="27" spans="1:10" s="965" customFormat="1" ht="16.5" hidden="1" customHeight="1">
      <c r="A27" s="961">
        <v>2</v>
      </c>
      <c r="B27" s="981" t="s">
        <v>545</v>
      </c>
      <c r="C27" s="982"/>
      <c r="D27" s="978">
        <f>SUM(D28:D32)</f>
        <v>480042405</v>
      </c>
      <c r="E27" s="978">
        <f>SUM(E28:E32)</f>
        <v>480042405</v>
      </c>
      <c r="F27" s="978">
        <f>SUM(F28:F32)</f>
        <v>0</v>
      </c>
      <c r="G27" s="958">
        <f t="shared" si="1"/>
        <v>1</v>
      </c>
      <c r="H27" s="963"/>
      <c r="I27" s="953"/>
      <c r="J27" s="964"/>
    </row>
    <row r="28" spans="1:10" s="972" customFormat="1" ht="47.25" hidden="1">
      <c r="A28" s="973" t="s">
        <v>128</v>
      </c>
      <c r="B28" s="901" t="s">
        <v>63</v>
      </c>
      <c r="C28" s="967" t="s">
        <v>1034</v>
      </c>
      <c r="D28" s="894">
        <v>131582380</v>
      </c>
      <c r="E28" s="894">
        <f>124789880+6792500</f>
        <v>131582380</v>
      </c>
      <c r="F28" s="974">
        <f t="shared" si="0"/>
        <v>0</v>
      </c>
      <c r="G28" s="969">
        <f t="shared" si="1"/>
        <v>1</v>
      </c>
      <c r="H28" s="896"/>
      <c r="I28" s="953"/>
      <c r="J28" s="971"/>
    </row>
    <row r="29" spans="1:10" s="972" customFormat="1" ht="16.5" hidden="1" customHeight="1">
      <c r="A29" s="973" t="s">
        <v>128</v>
      </c>
      <c r="B29" s="901" t="s">
        <v>1035</v>
      </c>
      <c r="C29" s="967" t="s">
        <v>1036</v>
      </c>
      <c r="D29" s="894">
        <v>35000000</v>
      </c>
      <c r="E29" s="894">
        <v>35000000</v>
      </c>
      <c r="F29" s="974">
        <f t="shared" si="0"/>
        <v>0</v>
      </c>
      <c r="G29" s="969">
        <f t="shared" si="1"/>
        <v>1</v>
      </c>
      <c r="H29" s="896"/>
      <c r="I29" s="953"/>
      <c r="J29" s="971"/>
    </row>
    <row r="30" spans="1:10" s="972" customFormat="1" ht="16.5" hidden="1" customHeight="1">
      <c r="A30" s="973" t="s">
        <v>1027</v>
      </c>
      <c r="B30" s="901" t="s">
        <v>332</v>
      </c>
      <c r="C30" s="967"/>
      <c r="D30" s="894">
        <v>283837603</v>
      </c>
      <c r="E30" s="894">
        <f>D30</f>
        <v>283837603</v>
      </c>
      <c r="F30" s="974">
        <f t="shared" si="0"/>
        <v>0</v>
      </c>
      <c r="G30" s="969">
        <f t="shared" si="1"/>
        <v>1</v>
      </c>
      <c r="H30" s="896"/>
      <c r="I30" s="953"/>
      <c r="J30" s="971"/>
    </row>
    <row r="31" spans="1:10" s="972" customFormat="1" ht="16.5" hidden="1" customHeight="1">
      <c r="A31" s="983" t="s">
        <v>1027</v>
      </c>
      <c r="B31" s="984" t="s">
        <v>590</v>
      </c>
      <c r="C31" s="985"/>
      <c r="D31" s="986">
        <v>13521987</v>
      </c>
      <c r="E31" s="986">
        <f>D31</f>
        <v>13521987</v>
      </c>
      <c r="F31" s="987">
        <f t="shared" si="0"/>
        <v>0</v>
      </c>
      <c r="G31" s="988">
        <f t="shared" si="1"/>
        <v>1</v>
      </c>
      <c r="H31" s="989"/>
      <c r="I31" s="953"/>
      <c r="J31" s="971"/>
    </row>
    <row r="32" spans="1:10" s="972" customFormat="1" ht="16.5" hidden="1" customHeight="1">
      <c r="A32" s="973" t="s">
        <v>1027</v>
      </c>
      <c r="B32" s="901" t="s">
        <v>101</v>
      </c>
      <c r="C32" s="967"/>
      <c r="D32" s="894">
        <v>16100435</v>
      </c>
      <c r="E32" s="894">
        <f>D32</f>
        <v>16100435</v>
      </c>
      <c r="F32" s="974">
        <f t="shared" si="0"/>
        <v>0</v>
      </c>
      <c r="G32" s="969">
        <f t="shared" si="1"/>
        <v>1</v>
      </c>
      <c r="H32" s="896"/>
      <c r="I32" s="953"/>
      <c r="J32" s="971"/>
    </row>
    <row r="33" spans="1:12" ht="16.5" customHeight="1">
      <c r="A33" s="954" t="s">
        <v>90</v>
      </c>
      <c r="B33" s="990" t="s">
        <v>1037</v>
      </c>
      <c r="C33" s="991"/>
      <c r="D33" s="957">
        <f>D34+D81</f>
        <v>104421484341</v>
      </c>
      <c r="E33" s="957">
        <f>E34+E81</f>
        <v>100339918469</v>
      </c>
      <c r="F33" s="957">
        <f>F34+F81</f>
        <v>4081565872</v>
      </c>
      <c r="G33" s="958">
        <f t="shared" si="1"/>
        <v>0.96091258520448541</v>
      </c>
      <c r="H33" s="885"/>
      <c r="I33" s="953"/>
      <c r="J33" s="953"/>
    </row>
    <row r="34" spans="1:12" ht="16.5" customHeight="1">
      <c r="A34" s="954" t="s">
        <v>6</v>
      </c>
      <c r="B34" s="990" t="s">
        <v>1038</v>
      </c>
      <c r="C34" s="991"/>
      <c r="D34" s="957">
        <f>D35+D42+D53+D75</f>
        <v>97156482391</v>
      </c>
      <c r="E34" s="957">
        <f>E35+E42+E53+E75</f>
        <v>95784855546</v>
      </c>
      <c r="F34" s="957">
        <f>F35+F42+F53+F75</f>
        <v>1371626845</v>
      </c>
      <c r="G34" s="958">
        <f t="shared" si="1"/>
        <v>0.98588229203811661</v>
      </c>
      <c r="H34" s="885"/>
      <c r="I34" s="953"/>
      <c r="J34" s="953"/>
    </row>
    <row r="35" spans="1:12" s="965" customFormat="1" ht="16.5" hidden="1" customHeight="1">
      <c r="A35" s="992">
        <v>1</v>
      </c>
      <c r="B35" s="977" t="s">
        <v>1039</v>
      </c>
      <c r="C35" s="956"/>
      <c r="D35" s="956">
        <f>D36+D39</f>
        <v>37900965273</v>
      </c>
      <c r="E35" s="956">
        <f>E36+E39</f>
        <v>37900965273</v>
      </c>
      <c r="F35" s="956">
        <f>F36+F39</f>
        <v>0</v>
      </c>
      <c r="G35" s="958">
        <f t="shared" si="1"/>
        <v>1</v>
      </c>
      <c r="H35" s="885"/>
      <c r="I35" s="953"/>
      <c r="J35" s="993"/>
    </row>
    <row r="36" spans="1:12" s="965" customFormat="1" ht="16.5" hidden="1" customHeight="1">
      <c r="A36" s="992" t="s">
        <v>130</v>
      </c>
      <c r="B36" s="977" t="s">
        <v>542</v>
      </c>
      <c r="C36" s="956"/>
      <c r="D36" s="956">
        <f>SUM(D37:D38)</f>
        <v>37055080273</v>
      </c>
      <c r="E36" s="956">
        <f>SUM(E37:E38)</f>
        <v>37055080273</v>
      </c>
      <c r="F36" s="956">
        <f>SUM(F37:F38)</f>
        <v>0</v>
      </c>
      <c r="G36" s="958">
        <f t="shared" si="1"/>
        <v>1</v>
      </c>
      <c r="H36" s="963"/>
      <c r="I36" s="953"/>
      <c r="J36" s="964"/>
    </row>
    <row r="37" spans="1:12" s="972" customFormat="1" ht="16.5" hidden="1" customHeight="1">
      <c r="A37" s="890" t="s">
        <v>1027</v>
      </c>
      <c r="B37" s="994" t="s">
        <v>1015</v>
      </c>
      <c r="C37" s="995" t="s">
        <v>1016</v>
      </c>
      <c r="D37" s="996">
        <v>13783000</v>
      </c>
      <c r="E37" s="996">
        <f>D37</f>
        <v>13783000</v>
      </c>
      <c r="F37" s="997">
        <f t="shared" si="0"/>
        <v>0</v>
      </c>
      <c r="G37" s="969">
        <f t="shared" si="1"/>
        <v>1</v>
      </c>
      <c r="H37" s="896"/>
      <c r="I37" s="953"/>
      <c r="J37" s="971"/>
    </row>
    <row r="38" spans="1:12" s="972" customFormat="1" ht="16.5" hidden="1" customHeight="1">
      <c r="A38" s="890" t="s">
        <v>1027</v>
      </c>
      <c r="B38" s="994" t="s">
        <v>1040</v>
      </c>
      <c r="C38" s="996"/>
      <c r="D38" s="996">
        <v>37041297273</v>
      </c>
      <c r="E38" s="996">
        <f>D38</f>
        <v>37041297273</v>
      </c>
      <c r="F38" s="997">
        <f t="shared" si="0"/>
        <v>0</v>
      </c>
      <c r="G38" s="969">
        <f t="shared" si="1"/>
        <v>1</v>
      </c>
      <c r="H38" s="896"/>
      <c r="I38" s="953"/>
      <c r="J38" s="971"/>
    </row>
    <row r="39" spans="1:12" s="965" customFormat="1" ht="16.5" hidden="1" customHeight="1">
      <c r="A39" s="992" t="s">
        <v>131</v>
      </c>
      <c r="B39" s="977" t="s">
        <v>545</v>
      </c>
      <c r="C39" s="956"/>
      <c r="D39" s="956">
        <f>SUM(D40:D41)</f>
        <v>845885000</v>
      </c>
      <c r="E39" s="956">
        <f>SUM(E40:E41)</f>
        <v>845885000</v>
      </c>
      <c r="F39" s="956">
        <f>SUM(F40:F41)</f>
        <v>0</v>
      </c>
      <c r="G39" s="958">
        <f t="shared" si="1"/>
        <v>1</v>
      </c>
      <c r="H39" s="963"/>
      <c r="I39" s="953"/>
      <c r="J39" s="993"/>
    </row>
    <row r="40" spans="1:12" s="972" customFormat="1" ht="39" hidden="1">
      <c r="A40" s="998" t="s">
        <v>1019</v>
      </c>
      <c r="B40" s="999" t="s">
        <v>590</v>
      </c>
      <c r="C40" s="1000" t="s">
        <v>1041</v>
      </c>
      <c r="D40" s="974">
        <v>86646000</v>
      </c>
      <c r="E40" s="974">
        <f>D40</f>
        <v>86646000</v>
      </c>
      <c r="F40" s="974">
        <f t="shared" si="0"/>
        <v>0</v>
      </c>
      <c r="G40" s="969">
        <f t="shared" si="1"/>
        <v>1</v>
      </c>
      <c r="H40" s="1001"/>
      <c r="I40" s="953"/>
      <c r="J40" s="971"/>
      <c r="L40" s="1002"/>
    </row>
    <row r="41" spans="1:12" ht="64.5" hidden="1">
      <c r="A41" s="998" t="s">
        <v>1019</v>
      </c>
      <c r="B41" s="999" t="s">
        <v>566</v>
      </c>
      <c r="C41" s="1000" t="s">
        <v>1042</v>
      </c>
      <c r="D41" s="974">
        <v>759239000</v>
      </c>
      <c r="E41" s="974">
        <f>192873000+566366000</f>
        <v>759239000</v>
      </c>
      <c r="F41" s="974">
        <f>D41-E41</f>
        <v>0</v>
      </c>
      <c r="G41" s="969">
        <f t="shared" si="1"/>
        <v>1</v>
      </c>
      <c r="H41" s="1003"/>
      <c r="I41" s="953"/>
      <c r="J41" s="953"/>
    </row>
    <row r="42" spans="1:12" s="965" customFormat="1" ht="16.5" hidden="1" customHeight="1">
      <c r="A42" s="1004">
        <v>2</v>
      </c>
      <c r="B42" s="1005" t="s">
        <v>1043</v>
      </c>
      <c r="C42" s="982"/>
      <c r="D42" s="1006">
        <f>D43+D50</f>
        <v>944860990</v>
      </c>
      <c r="E42" s="1006">
        <f>E43+E50</f>
        <v>944860990</v>
      </c>
      <c r="F42" s="1006">
        <f>F43+F50</f>
        <v>0</v>
      </c>
      <c r="G42" s="958">
        <f t="shared" si="1"/>
        <v>1</v>
      </c>
      <c r="H42" s="1007"/>
      <c r="I42" s="953"/>
      <c r="J42" s="964"/>
    </row>
    <row r="43" spans="1:12" s="965" customFormat="1" ht="16.5" hidden="1" customHeight="1">
      <c r="A43" s="1004" t="s">
        <v>130</v>
      </c>
      <c r="B43" s="1005" t="s">
        <v>542</v>
      </c>
      <c r="C43" s="982"/>
      <c r="D43" s="1006">
        <f>SUM(D44:D49)</f>
        <v>634446664</v>
      </c>
      <c r="E43" s="1006">
        <f>SUM(E44:E49)</f>
        <v>634446664</v>
      </c>
      <c r="F43" s="1006">
        <f>SUM(F44:F49)</f>
        <v>0</v>
      </c>
      <c r="G43" s="958">
        <f t="shared" si="1"/>
        <v>1</v>
      </c>
      <c r="H43" s="1008"/>
      <c r="I43" s="953"/>
      <c r="J43" s="964"/>
    </row>
    <row r="44" spans="1:12" ht="16.5" hidden="1" customHeight="1">
      <c r="A44" s="998" t="s">
        <v>1019</v>
      </c>
      <c r="B44" s="999" t="s">
        <v>1015</v>
      </c>
      <c r="C44" s="967" t="s">
        <v>1016</v>
      </c>
      <c r="D44" s="974">
        <v>98500000</v>
      </c>
      <c r="E44" s="974">
        <f t="shared" ref="E44:E49" si="3">D44</f>
        <v>98500000</v>
      </c>
      <c r="F44" s="974">
        <f t="shared" ref="F44:F52" si="4">D44-E44</f>
        <v>0</v>
      </c>
      <c r="G44" s="969">
        <f t="shared" si="1"/>
        <v>1</v>
      </c>
      <c r="H44" s="1009"/>
      <c r="I44" s="953"/>
      <c r="J44" s="953"/>
    </row>
    <row r="45" spans="1:12" ht="16.5" hidden="1" customHeight="1">
      <c r="A45" s="998" t="s">
        <v>1019</v>
      </c>
      <c r="B45" s="999" t="s">
        <v>1044</v>
      </c>
      <c r="C45" s="967"/>
      <c r="D45" s="974">
        <v>209855400</v>
      </c>
      <c r="E45" s="974">
        <f t="shared" si="3"/>
        <v>209855400</v>
      </c>
      <c r="F45" s="974">
        <f t="shared" si="4"/>
        <v>0</v>
      </c>
      <c r="G45" s="969">
        <f t="shared" si="1"/>
        <v>1</v>
      </c>
      <c r="H45" s="1009"/>
      <c r="I45" s="953"/>
      <c r="J45" s="953"/>
    </row>
    <row r="46" spans="1:12" ht="16.5" hidden="1" customHeight="1">
      <c r="A46" s="998" t="s">
        <v>1019</v>
      </c>
      <c r="B46" s="999" t="s">
        <v>1014</v>
      </c>
      <c r="C46" s="967"/>
      <c r="D46" s="974">
        <v>21381006</v>
      </c>
      <c r="E46" s="974">
        <f t="shared" si="3"/>
        <v>21381006</v>
      </c>
      <c r="F46" s="974">
        <f t="shared" si="4"/>
        <v>0</v>
      </c>
      <c r="G46" s="969">
        <f t="shared" si="1"/>
        <v>1</v>
      </c>
      <c r="H46" s="1009"/>
      <c r="I46" s="953"/>
      <c r="J46" s="953"/>
    </row>
    <row r="47" spans="1:12" ht="16.5" hidden="1" customHeight="1">
      <c r="A47" s="998" t="s">
        <v>1019</v>
      </c>
      <c r="B47" s="999" t="s">
        <v>35</v>
      </c>
      <c r="C47" s="967"/>
      <c r="D47" s="974">
        <v>24103000</v>
      </c>
      <c r="E47" s="974">
        <f t="shared" si="3"/>
        <v>24103000</v>
      </c>
      <c r="F47" s="974">
        <f t="shared" si="4"/>
        <v>0</v>
      </c>
      <c r="G47" s="969">
        <f t="shared" si="1"/>
        <v>1</v>
      </c>
      <c r="H47" s="1009"/>
      <c r="I47" s="953"/>
      <c r="J47" s="953"/>
    </row>
    <row r="48" spans="1:12" ht="16.5" hidden="1" customHeight="1">
      <c r="A48" s="998" t="s">
        <v>1019</v>
      </c>
      <c r="B48" s="999" t="s">
        <v>1045</v>
      </c>
      <c r="C48" s="967"/>
      <c r="D48" s="974">
        <v>137141908</v>
      </c>
      <c r="E48" s="974">
        <f t="shared" si="3"/>
        <v>137141908</v>
      </c>
      <c r="F48" s="974">
        <f t="shared" si="4"/>
        <v>0</v>
      </c>
      <c r="G48" s="969">
        <f t="shared" si="1"/>
        <v>1</v>
      </c>
      <c r="H48" s="1009"/>
      <c r="I48" s="953"/>
      <c r="J48" s="953"/>
    </row>
    <row r="49" spans="1:11" ht="16.5" hidden="1" customHeight="1">
      <c r="A49" s="998" t="s">
        <v>1019</v>
      </c>
      <c r="B49" s="999" t="s">
        <v>1040</v>
      </c>
      <c r="C49" s="967"/>
      <c r="D49" s="974">
        <v>143465350</v>
      </c>
      <c r="E49" s="974">
        <f t="shared" si="3"/>
        <v>143465350</v>
      </c>
      <c r="F49" s="974">
        <f t="shared" si="4"/>
        <v>0</v>
      </c>
      <c r="G49" s="969">
        <f t="shared" si="1"/>
        <v>1</v>
      </c>
      <c r="H49" s="1009"/>
      <c r="I49" s="953"/>
      <c r="J49" s="953"/>
    </row>
    <row r="50" spans="1:11" s="965" customFormat="1" ht="16.5" hidden="1" customHeight="1">
      <c r="A50" s="1004" t="s">
        <v>131</v>
      </c>
      <c r="B50" s="1005" t="s">
        <v>545</v>
      </c>
      <c r="C50" s="982"/>
      <c r="D50" s="1006">
        <f>SUM(D51:D52)</f>
        <v>310414326</v>
      </c>
      <c r="E50" s="1006">
        <f>SUM(E51:E52)</f>
        <v>310414326</v>
      </c>
      <c r="F50" s="1006">
        <f>SUM(F51:F52)</f>
        <v>0</v>
      </c>
      <c r="G50" s="958">
        <f t="shared" si="1"/>
        <v>1</v>
      </c>
      <c r="H50" s="1008"/>
      <c r="I50" s="953"/>
      <c r="J50" s="964"/>
    </row>
    <row r="51" spans="1:11" ht="16.5" hidden="1" customHeight="1">
      <c r="A51" s="998" t="s">
        <v>1019</v>
      </c>
      <c r="B51" s="999" t="s">
        <v>590</v>
      </c>
      <c r="C51" s="967"/>
      <c r="D51" s="974">
        <v>190194326</v>
      </c>
      <c r="E51" s="974">
        <f>D51</f>
        <v>190194326</v>
      </c>
      <c r="F51" s="974">
        <f t="shared" si="4"/>
        <v>0</v>
      </c>
      <c r="G51" s="969">
        <f t="shared" si="1"/>
        <v>1</v>
      </c>
      <c r="H51" s="1009"/>
      <c r="I51" s="953"/>
      <c r="J51" s="953"/>
    </row>
    <row r="52" spans="1:11" ht="16.5" hidden="1" customHeight="1">
      <c r="A52" s="998" t="s">
        <v>1019</v>
      </c>
      <c r="B52" s="999" t="s">
        <v>63</v>
      </c>
      <c r="C52" s="967"/>
      <c r="D52" s="974">
        <v>120220000</v>
      </c>
      <c r="E52" s="974">
        <f>D52</f>
        <v>120220000</v>
      </c>
      <c r="F52" s="974">
        <f t="shared" si="4"/>
        <v>0</v>
      </c>
      <c r="G52" s="969">
        <f t="shared" si="1"/>
        <v>1</v>
      </c>
      <c r="H52" s="1009"/>
      <c r="I52" s="953"/>
      <c r="J52" s="953"/>
    </row>
    <row r="53" spans="1:11" s="965" customFormat="1" ht="15.75">
      <c r="A53" s="1010">
        <v>3</v>
      </c>
      <c r="B53" s="1011" t="s">
        <v>1046</v>
      </c>
      <c r="C53" s="982"/>
      <c r="D53" s="978">
        <f>D54+D69</f>
        <v>54462290000</v>
      </c>
      <c r="E53" s="978">
        <f>E54+E69</f>
        <v>53090663155</v>
      </c>
      <c r="F53" s="978">
        <f>F54+F69</f>
        <v>1371626845</v>
      </c>
      <c r="G53" s="958">
        <f t="shared" si="1"/>
        <v>0.97481510885789047</v>
      </c>
      <c r="H53" s="1007"/>
      <c r="I53" s="953"/>
      <c r="J53" s="964"/>
    </row>
    <row r="54" spans="1:11" s="965" customFormat="1" ht="16.5" customHeight="1">
      <c r="A54" s="1010" t="s">
        <v>130</v>
      </c>
      <c r="B54" s="981" t="s">
        <v>542</v>
      </c>
      <c r="C54" s="982"/>
      <c r="D54" s="978">
        <f>SUM(D55:D60)</f>
        <v>39624790000</v>
      </c>
      <c r="E54" s="978">
        <f>SUM(E55:E60)</f>
        <v>38253163155</v>
      </c>
      <c r="F54" s="978">
        <f>SUM(F55:F60)</f>
        <v>1371626845</v>
      </c>
      <c r="G54" s="958">
        <f t="shared" si="1"/>
        <v>0.96538462803209812</v>
      </c>
      <c r="H54" s="1008"/>
      <c r="I54" s="953"/>
      <c r="J54" s="964"/>
    </row>
    <row r="55" spans="1:11" s="972" customFormat="1" ht="16.5" hidden="1" customHeight="1">
      <c r="A55" s="926" t="s">
        <v>1047</v>
      </c>
      <c r="B55" s="901" t="s">
        <v>1048</v>
      </c>
      <c r="C55" s="967"/>
      <c r="D55" s="894">
        <v>12105957000</v>
      </c>
      <c r="E55" s="894">
        <f>D55</f>
        <v>12105957000</v>
      </c>
      <c r="F55" s="974">
        <f t="shared" ref="F55:F93" si="5">D55-E55</f>
        <v>0</v>
      </c>
      <c r="G55" s="969">
        <f t="shared" si="1"/>
        <v>1</v>
      </c>
      <c r="H55" s="1009"/>
      <c r="I55" s="953"/>
      <c r="J55" s="971"/>
    </row>
    <row r="56" spans="1:11" s="972" customFormat="1" ht="16.5" hidden="1" customHeight="1">
      <c r="A56" s="926" t="s">
        <v>1049</v>
      </c>
      <c r="B56" s="901" t="s">
        <v>1050</v>
      </c>
      <c r="C56" s="967"/>
      <c r="D56" s="894">
        <v>1018500000</v>
      </c>
      <c r="E56" s="894">
        <f>D56</f>
        <v>1018500000</v>
      </c>
      <c r="F56" s="974">
        <f t="shared" si="5"/>
        <v>0</v>
      </c>
      <c r="G56" s="969">
        <f t="shared" si="1"/>
        <v>1</v>
      </c>
      <c r="H56" s="1009"/>
      <c r="I56" s="953"/>
      <c r="J56" s="971"/>
    </row>
    <row r="57" spans="1:11" s="972" customFormat="1" ht="15.75" hidden="1">
      <c r="A57" s="926" t="s">
        <v>1051</v>
      </c>
      <c r="B57" s="966" t="s">
        <v>1052</v>
      </c>
      <c r="C57" s="967"/>
      <c r="D57" s="894">
        <v>12708600000</v>
      </c>
      <c r="E57" s="894">
        <f>D57</f>
        <v>12708600000</v>
      </c>
      <c r="F57" s="974">
        <f t="shared" si="5"/>
        <v>0</v>
      </c>
      <c r="G57" s="969">
        <f t="shared" si="1"/>
        <v>1</v>
      </c>
      <c r="H57" s="1009"/>
      <c r="I57" s="953"/>
      <c r="J57" s="971"/>
    </row>
    <row r="58" spans="1:11" ht="15.75" hidden="1">
      <c r="A58" s="926" t="s">
        <v>1053</v>
      </c>
      <c r="B58" s="901" t="s">
        <v>1032</v>
      </c>
      <c r="C58" s="1012" t="s">
        <v>505</v>
      </c>
      <c r="D58" s="894">
        <v>115000000</v>
      </c>
      <c r="E58" s="894">
        <f>D58</f>
        <v>115000000</v>
      </c>
      <c r="F58" s="974">
        <f>D58-E58</f>
        <v>0</v>
      </c>
      <c r="G58" s="969">
        <f t="shared" si="1"/>
        <v>1</v>
      </c>
      <c r="H58" s="1013"/>
      <c r="I58" s="953"/>
      <c r="J58" s="953"/>
    </row>
    <row r="59" spans="1:11" ht="15.75" hidden="1">
      <c r="A59" s="926" t="s">
        <v>1054</v>
      </c>
      <c r="B59" s="901" t="s">
        <v>1032</v>
      </c>
      <c r="C59" s="1012" t="s">
        <v>49</v>
      </c>
      <c r="D59" s="894">
        <v>243225000</v>
      </c>
      <c r="E59" s="894">
        <f>D59</f>
        <v>243225000</v>
      </c>
      <c r="F59" s="974">
        <f>D59-E59</f>
        <v>0</v>
      </c>
      <c r="G59" s="969">
        <f t="shared" si="1"/>
        <v>1</v>
      </c>
      <c r="H59" s="1013"/>
      <c r="I59" s="953"/>
      <c r="J59" s="953"/>
    </row>
    <row r="60" spans="1:11" s="1015" customFormat="1" ht="31.5">
      <c r="A60" s="926" t="s">
        <v>1055</v>
      </c>
      <c r="B60" s="981" t="s">
        <v>1056</v>
      </c>
      <c r="C60" s="1014"/>
      <c r="D60" s="978">
        <f>SUM(D61:D68)+277</f>
        <v>13433508000</v>
      </c>
      <c r="E60" s="978">
        <f>SUM(E61:E68)</f>
        <v>12061881155</v>
      </c>
      <c r="F60" s="978">
        <f>SUM(F61:F68)+277</f>
        <v>1371626845</v>
      </c>
      <c r="G60" s="958">
        <f t="shared" si="1"/>
        <v>0.89789511086754104</v>
      </c>
      <c r="H60" s="1102" t="s">
        <v>1057</v>
      </c>
      <c r="I60" s="953"/>
      <c r="J60" s="953"/>
      <c r="K60" s="1108"/>
    </row>
    <row r="61" spans="1:11" s="1015" customFormat="1" ht="15.75">
      <c r="A61" s="926" t="s">
        <v>1019</v>
      </c>
      <c r="B61" s="981"/>
      <c r="C61" s="967" t="s">
        <v>1058</v>
      </c>
      <c r="D61" s="894">
        <f>9498881155</f>
        <v>9498881155</v>
      </c>
      <c r="E61" s="894">
        <f>D61</f>
        <v>9498881155</v>
      </c>
      <c r="F61" s="980">
        <f t="shared" si="5"/>
        <v>0</v>
      </c>
      <c r="G61" s="969">
        <f t="shared" si="1"/>
        <v>1</v>
      </c>
      <c r="H61" s="1102"/>
      <c r="I61" s="953"/>
      <c r="J61" s="953"/>
      <c r="K61" s="1109"/>
    </row>
    <row r="62" spans="1:11" ht="30">
      <c r="A62" s="926" t="s">
        <v>128</v>
      </c>
      <c r="B62" s="1012" t="s">
        <v>1059</v>
      </c>
      <c r="C62" s="1016" t="s">
        <v>1060</v>
      </c>
      <c r="D62" s="1017">
        <v>2350000000</v>
      </c>
      <c r="E62" s="894">
        <f>D62</f>
        <v>2350000000</v>
      </c>
      <c r="F62" s="974">
        <f t="shared" si="5"/>
        <v>0</v>
      </c>
      <c r="G62" s="969">
        <f t="shared" si="1"/>
        <v>1</v>
      </c>
      <c r="H62" s="1102"/>
      <c r="I62" s="953"/>
      <c r="J62" s="953"/>
      <c r="K62" s="1109"/>
    </row>
    <row r="63" spans="1:11" ht="30">
      <c r="A63" s="926" t="s">
        <v>128</v>
      </c>
      <c r="B63" s="1012" t="s">
        <v>1059</v>
      </c>
      <c r="C63" s="1016" t="s">
        <v>1061</v>
      </c>
      <c r="D63" s="1017">
        <v>104000000</v>
      </c>
      <c r="E63" s="894">
        <f>D63</f>
        <v>104000000</v>
      </c>
      <c r="F63" s="974">
        <f t="shared" si="5"/>
        <v>0</v>
      </c>
      <c r="G63" s="969">
        <f t="shared" si="1"/>
        <v>1</v>
      </c>
      <c r="H63" s="1102"/>
      <c r="I63" s="953"/>
      <c r="J63" s="953"/>
      <c r="K63" s="1109"/>
    </row>
    <row r="64" spans="1:11" ht="30">
      <c r="A64" s="926" t="s">
        <v>128</v>
      </c>
      <c r="B64" s="1012" t="s">
        <v>1062</v>
      </c>
      <c r="C64" s="1016" t="s">
        <v>1063</v>
      </c>
      <c r="D64" s="1017">
        <v>650000000</v>
      </c>
      <c r="E64" s="894"/>
      <c r="F64" s="974">
        <f t="shared" si="5"/>
        <v>650000000</v>
      </c>
      <c r="G64" s="969">
        <f t="shared" si="1"/>
        <v>0</v>
      </c>
      <c r="H64" s="1102"/>
      <c r="I64" s="953"/>
      <c r="J64" s="953"/>
      <c r="K64" s="1109"/>
    </row>
    <row r="65" spans="1:11" ht="60">
      <c r="A65" s="926" t="s">
        <v>128</v>
      </c>
      <c r="B65" s="1012" t="s">
        <v>1064</v>
      </c>
      <c r="C65" s="1019" t="s">
        <v>1065</v>
      </c>
      <c r="D65" s="1017">
        <v>466808568</v>
      </c>
      <c r="E65" s="894"/>
      <c r="F65" s="974">
        <f t="shared" si="5"/>
        <v>466808568</v>
      </c>
      <c r="G65" s="969">
        <f t="shared" si="1"/>
        <v>0</v>
      </c>
      <c r="H65" s="1102"/>
      <c r="I65" s="953"/>
      <c r="J65" s="953"/>
      <c r="K65" s="1109"/>
    </row>
    <row r="66" spans="1:11" ht="60">
      <c r="A66" s="926" t="s">
        <v>128</v>
      </c>
      <c r="B66" s="1012" t="s">
        <v>1064</v>
      </c>
      <c r="C66" s="1019" t="s">
        <v>1066</v>
      </c>
      <c r="D66" s="1017">
        <v>254818000</v>
      </c>
      <c r="E66" s="894"/>
      <c r="F66" s="974">
        <f t="shared" si="5"/>
        <v>254818000</v>
      </c>
      <c r="G66" s="969">
        <f t="shared" si="1"/>
        <v>0</v>
      </c>
      <c r="H66" s="1102"/>
      <c r="I66" s="953"/>
      <c r="J66" s="953"/>
      <c r="K66" s="1109"/>
    </row>
    <row r="67" spans="1:11" ht="15.75">
      <c r="A67" s="926" t="s">
        <v>128</v>
      </c>
      <c r="B67" s="1020" t="s">
        <v>1067</v>
      </c>
      <c r="C67" s="1012" t="s">
        <v>1068</v>
      </c>
      <c r="D67" s="894">
        <v>29000000</v>
      </c>
      <c r="E67" s="894">
        <v>29000000</v>
      </c>
      <c r="F67" s="974">
        <f t="shared" si="5"/>
        <v>0</v>
      </c>
      <c r="G67" s="969">
        <f t="shared" si="1"/>
        <v>1</v>
      </c>
      <c r="H67" s="1102"/>
      <c r="I67" s="953"/>
      <c r="J67" s="953"/>
      <c r="K67" s="1109"/>
    </row>
    <row r="68" spans="1:11" ht="16.5" customHeight="1">
      <c r="A68" s="926" t="s">
        <v>128</v>
      </c>
      <c r="B68" s="901" t="s">
        <v>1040</v>
      </c>
      <c r="C68" s="1012" t="s">
        <v>1069</v>
      </c>
      <c r="D68" s="894">
        <v>80000000</v>
      </c>
      <c r="E68" s="894">
        <f>50000000+30000000</f>
        <v>80000000</v>
      </c>
      <c r="F68" s="974">
        <f t="shared" si="5"/>
        <v>0</v>
      </c>
      <c r="G68" s="969">
        <f t="shared" si="1"/>
        <v>1</v>
      </c>
      <c r="H68" s="1102"/>
      <c r="I68" s="953"/>
      <c r="J68" s="953"/>
      <c r="K68" s="1110"/>
    </row>
    <row r="69" spans="1:11" s="965" customFormat="1" ht="16.5" customHeight="1">
      <c r="A69" s="1010" t="s">
        <v>131</v>
      </c>
      <c r="B69" s="981" t="s">
        <v>545</v>
      </c>
      <c r="C69" s="1021"/>
      <c r="D69" s="978">
        <f>SUM(D70:D74)</f>
        <v>14837500000</v>
      </c>
      <c r="E69" s="978">
        <f>SUM(E70:E74)</f>
        <v>14837500000</v>
      </c>
      <c r="F69" s="978">
        <f>SUM(F70:F74)</f>
        <v>0</v>
      </c>
      <c r="G69" s="958">
        <f t="shared" si="1"/>
        <v>1</v>
      </c>
      <c r="H69" s="1022"/>
      <c r="I69" s="953"/>
      <c r="J69" s="964"/>
    </row>
    <row r="70" spans="1:11" ht="47.25" hidden="1">
      <c r="A70" s="926" t="s">
        <v>1019</v>
      </c>
      <c r="B70" s="901" t="s">
        <v>590</v>
      </c>
      <c r="C70" s="967" t="s">
        <v>1070</v>
      </c>
      <c r="D70" s="894">
        <v>34500000</v>
      </c>
      <c r="E70" s="894">
        <v>34500000</v>
      </c>
      <c r="F70" s="974">
        <f>D70-E70</f>
        <v>0</v>
      </c>
      <c r="G70" s="969">
        <f t="shared" si="1"/>
        <v>1</v>
      </c>
      <c r="H70" s="970"/>
      <c r="I70" s="953"/>
      <c r="J70" s="953"/>
    </row>
    <row r="71" spans="1:11" ht="16.5" hidden="1" customHeight="1">
      <c r="A71" s="926" t="s">
        <v>1019</v>
      </c>
      <c r="B71" s="901" t="s">
        <v>1035</v>
      </c>
      <c r="C71" s="1012"/>
      <c r="D71" s="894">
        <v>3000000000</v>
      </c>
      <c r="E71" s="894">
        <f>D71</f>
        <v>3000000000</v>
      </c>
      <c r="F71" s="974">
        <f t="shared" si="5"/>
        <v>0</v>
      </c>
      <c r="G71" s="969">
        <f t="shared" si="1"/>
        <v>1</v>
      </c>
      <c r="H71" s="1013"/>
      <c r="I71" s="953"/>
      <c r="J71" s="953"/>
    </row>
    <row r="72" spans="1:11" ht="16.5" hidden="1" customHeight="1">
      <c r="A72" s="926" t="s">
        <v>1019</v>
      </c>
      <c r="B72" s="901" t="s">
        <v>73</v>
      </c>
      <c r="C72" s="1012"/>
      <c r="D72" s="894">
        <v>8000000000</v>
      </c>
      <c r="E72" s="894">
        <f>D72</f>
        <v>8000000000</v>
      </c>
      <c r="F72" s="974">
        <f t="shared" si="5"/>
        <v>0</v>
      </c>
      <c r="G72" s="969">
        <f t="shared" si="1"/>
        <v>1</v>
      </c>
      <c r="H72" s="1013"/>
      <c r="I72" s="953"/>
      <c r="J72" s="953"/>
    </row>
    <row r="73" spans="1:11" ht="16.5" hidden="1" customHeight="1">
      <c r="A73" s="926" t="s">
        <v>1019</v>
      </c>
      <c r="B73" s="901" t="s">
        <v>566</v>
      </c>
      <c r="C73" s="1012"/>
      <c r="D73" s="894">
        <v>3038000000</v>
      </c>
      <c r="E73" s="894">
        <f>D73</f>
        <v>3038000000</v>
      </c>
      <c r="F73" s="974">
        <f t="shared" si="5"/>
        <v>0</v>
      </c>
      <c r="G73" s="969">
        <f t="shared" si="1"/>
        <v>1</v>
      </c>
      <c r="H73" s="1013"/>
      <c r="I73" s="953"/>
      <c r="J73" s="953"/>
    </row>
    <row r="74" spans="1:11" ht="16.5" hidden="1" customHeight="1">
      <c r="A74" s="926" t="s">
        <v>1019</v>
      </c>
      <c r="B74" s="901" t="s">
        <v>99</v>
      </c>
      <c r="C74" s="1012"/>
      <c r="D74" s="894">
        <v>765000000</v>
      </c>
      <c r="E74" s="894">
        <f>D74</f>
        <v>765000000</v>
      </c>
      <c r="F74" s="974">
        <f t="shared" si="5"/>
        <v>0</v>
      </c>
      <c r="G74" s="969">
        <f t="shared" si="1"/>
        <v>1</v>
      </c>
      <c r="H74" s="1013"/>
      <c r="I74" s="953"/>
      <c r="J74" s="953"/>
    </row>
    <row r="75" spans="1:11" s="965" customFormat="1" ht="40.5" customHeight="1">
      <c r="A75" s="1010">
        <v>4</v>
      </c>
      <c r="B75" s="1111" t="s">
        <v>1071</v>
      </c>
      <c r="C75" s="1112"/>
      <c r="D75" s="978">
        <f>D76+D79</f>
        <v>3848366128</v>
      </c>
      <c r="E75" s="978">
        <f>E76+E79</f>
        <v>3848366128</v>
      </c>
      <c r="F75" s="978">
        <f>F76+F79</f>
        <v>0</v>
      </c>
      <c r="G75" s="958">
        <f t="shared" ref="G75:G100" si="6">+E75/D75</f>
        <v>1</v>
      </c>
      <c r="H75" s="1023"/>
      <c r="I75" s="953"/>
      <c r="J75" s="964"/>
    </row>
    <row r="76" spans="1:11" s="965" customFormat="1" ht="16.5" customHeight="1">
      <c r="A76" s="1010" t="s">
        <v>130</v>
      </c>
      <c r="B76" s="981" t="s">
        <v>542</v>
      </c>
      <c r="C76" s="1021"/>
      <c r="D76" s="978">
        <f>SUM(D77:D78)</f>
        <v>1706900000</v>
      </c>
      <c r="E76" s="978">
        <f>SUM(E77:E78)</f>
        <v>1706900000</v>
      </c>
      <c r="F76" s="978">
        <f>SUM(F77:F78)</f>
        <v>0</v>
      </c>
      <c r="G76" s="958">
        <f t="shared" si="6"/>
        <v>1</v>
      </c>
      <c r="H76" s="1022"/>
      <c r="I76" s="953"/>
      <c r="J76" s="964"/>
    </row>
    <row r="77" spans="1:11" ht="16.5" customHeight="1">
      <c r="A77" s="926" t="s">
        <v>1019</v>
      </c>
      <c r="B77" s="901" t="s">
        <v>1072</v>
      </c>
      <c r="C77" s="1012"/>
      <c r="D77" s="894">
        <v>454600000</v>
      </c>
      <c r="E77" s="894">
        <f>D77</f>
        <v>454600000</v>
      </c>
      <c r="F77" s="974">
        <f t="shared" si="5"/>
        <v>0</v>
      </c>
      <c r="G77" s="969">
        <f t="shared" si="6"/>
        <v>1</v>
      </c>
      <c r="H77" s="1013"/>
      <c r="I77" s="953"/>
      <c r="J77" s="953"/>
    </row>
    <row r="78" spans="1:11" ht="16.5" customHeight="1">
      <c r="A78" s="926" t="s">
        <v>1019</v>
      </c>
      <c r="B78" s="901" t="s">
        <v>1032</v>
      </c>
      <c r="C78" s="1012" t="s">
        <v>505</v>
      </c>
      <c r="D78" s="894">
        <v>1252300000</v>
      </c>
      <c r="E78" s="894">
        <f>D78</f>
        <v>1252300000</v>
      </c>
      <c r="F78" s="974">
        <f t="shared" si="5"/>
        <v>0</v>
      </c>
      <c r="G78" s="969">
        <f t="shared" si="6"/>
        <v>1</v>
      </c>
      <c r="H78" s="1013"/>
      <c r="I78" s="953"/>
      <c r="J78" s="953"/>
    </row>
    <row r="79" spans="1:11" s="965" customFormat="1" ht="16.5" customHeight="1">
      <c r="A79" s="1010" t="s">
        <v>131</v>
      </c>
      <c r="B79" s="981" t="s">
        <v>545</v>
      </c>
      <c r="C79" s="1021"/>
      <c r="D79" s="978">
        <f>D80</f>
        <v>2141466128</v>
      </c>
      <c r="E79" s="978">
        <f>E80</f>
        <v>2141466128</v>
      </c>
      <c r="F79" s="978">
        <f>F80</f>
        <v>0</v>
      </c>
      <c r="G79" s="958">
        <f t="shared" si="6"/>
        <v>1</v>
      </c>
      <c r="H79" s="1022"/>
      <c r="I79" s="953"/>
      <c r="J79" s="964"/>
    </row>
    <row r="80" spans="1:11" ht="16.5" customHeight="1">
      <c r="A80" s="926" t="s">
        <v>1019</v>
      </c>
      <c r="B80" s="901" t="s">
        <v>590</v>
      </c>
      <c r="C80" s="1012"/>
      <c r="D80" s="894">
        <v>2141466128</v>
      </c>
      <c r="E80" s="894">
        <f>D80</f>
        <v>2141466128</v>
      </c>
      <c r="F80" s="974">
        <f t="shared" si="5"/>
        <v>0</v>
      </c>
      <c r="G80" s="969">
        <f t="shared" si="6"/>
        <v>1</v>
      </c>
      <c r="H80" s="1013"/>
      <c r="I80" s="953"/>
      <c r="J80" s="953"/>
    </row>
    <row r="81" spans="1:10" ht="16.5" customHeight="1">
      <c r="A81" s="954" t="s">
        <v>46</v>
      </c>
      <c r="B81" s="990" t="s">
        <v>1073</v>
      </c>
      <c r="C81" s="991"/>
      <c r="D81" s="957">
        <f>D82+D86</f>
        <v>7265001950</v>
      </c>
      <c r="E81" s="957">
        <f>E82+E86</f>
        <v>4555062923</v>
      </c>
      <c r="F81" s="980">
        <f t="shared" si="5"/>
        <v>2709939027</v>
      </c>
      <c r="G81" s="958">
        <f t="shared" si="6"/>
        <v>0.62698715765657842</v>
      </c>
      <c r="H81" s="885"/>
      <c r="I81" s="953"/>
      <c r="J81" s="953"/>
    </row>
    <row r="82" spans="1:10" s="1015" customFormat="1" ht="16.5" customHeight="1">
      <c r="A82" s="961">
        <v>1</v>
      </c>
      <c r="B82" s="977" t="s">
        <v>542</v>
      </c>
      <c r="C82" s="991"/>
      <c r="D82" s="956">
        <f>SUM(D83:D85)</f>
        <v>2174566934</v>
      </c>
      <c r="E82" s="956">
        <f>SUM(E83:E85)</f>
        <v>2174566934</v>
      </c>
      <c r="F82" s="956">
        <f>SUM(F83:F85)</f>
        <v>0</v>
      </c>
      <c r="G82" s="969">
        <f t="shared" si="6"/>
        <v>1</v>
      </c>
      <c r="H82" s="1024"/>
      <c r="I82" s="953"/>
      <c r="J82" s="993"/>
    </row>
    <row r="83" spans="1:10" s="972" customFormat="1" ht="16.5" customHeight="1">
      <c r="A83" s="973" t="s">
        <v>128</v>
      </c>
      <c r="B83" s="994" t="s">
        <v>1012</v>
      </c>
      <c r="C83" s="991"/>
      <c r="D83" s="996">
        <v>1487937976</v>
      </c>
      <c r="E83" s="996">
        <f>1479290976+8647000</f>
        <v>1487937976</v>
      </c>
      <c r="F83" s="974">
        <f t="shared" si="5"/>
        <v>0</v>
      </c>
      <c r="G83" s="969">
        <f t="shared" si="6"/>
        <v>1</v>
      </c>
      <c r="H83" s="896"/>
      <c r="I83" s="953"/>
      <c r="J83" s="971"/>
    </row>
    <row r="84" spans="1:10" s="972" customFormat="1" ht="16.5" customHeight="1">
      <c r="A84" s="973" t="s">
        <v>128</v>
      </c>
      <c r="B84" s="994" t="s">
        <v>1014</v>
      </c>
      <c r="C84" s="991"/>
      <c r="D84" s="996">
        <v>15616006</v>
      </c>
      <c r="E84" s="996">
        <f>D84</f>
        <v>15616006</v>
      </c>
      <c r="F84" s="974">
        <f t="shared" si="5"/>
        <v>0</v>
      </c>
      <c r="G84" s="969">
        <f t="shared" si="6"/>
        <v>1</v>
      </c>
      <c r="H84" s="896"/>
      <c r="I84" s="953"/>
      <c r="J84" s="971"/>
    </row>
    <row r="85" spans="1:10" s="972" customFormat="1" ht="16.5" customHeight="1">
      <c r="A85" s="973" t="s">
        <v>128</v>
      </c>
      <c r="B85" s="901" t="s">
        <v>1030</v>
      </c>
      <c r="C85" s="967"/>
      <c r="D85" s="894">
        <v>671012952</v>
      </c>
      <c r="E85" s="894">
        <f>D85</f>
        <v>671012952</v>
      </c>
      <c r="F85" s="974">
        <f t="shared" si="5"/>
        <v>0</v>
      </c>
      <c r="G85" s="969">
        <f t="shared" si="6"/>
        <v>1</v>
      </c>
      <c r="H85" s="896"/>
      <c r="I85" s="953"/>
      <c r="J85" s="971"/>
    </row>
    <row r="86" spans="1:10" s="965" customFormat="1" ht="16.5" customHeight="1">
      <c r="A86" s="1010">
        <v>2</v>
      </c>
      <c r="B86" s="977" t="s">
        <v>545</v>
      </c>
      <c r="C86" s="982"/>
      <c r="D86" s="978">
        <f>SUM(D87:D93)</f>
        <v>5090435016</v>
      </c>
      <c r="E86" s="978">
        <f>SUM(E87:E93)</f>
        <v>2380495989</v>
      </c>
      <c r="F86" s="978">
        <f>SUM(F87:F93)</f>
        <v>2709939027</v>
      </c>
      <c r="G86" s="958">
        <f t="shared" si="6"/>
        <v>0.46764097400668986</v>
      </c>
      <c r="H86" s="1025"/>
      <c r="I86" s="953"/>
      <c r="J86" s="964"/>
    </row>
    <row r="87" spans="1:10" ht="79.5" customHeight="1">
      <c r="A87" s="926" t="s">
        <v>128</v>
      </c>
      <c r="B87" s="901" t="s">
        <v>1074</v>
      </c>
      <c r="C87" s="1019" t="s">
        <v>1075</v>
      </c>
      <c r="D87" s="894">
        <v>4356439000</v>
      </c>
      <c r="E87" s="894">
        <v>1646499973</v>
      </c>
      <c r="F87" s="968">
        <f t="shared" si="5"/>
        <v>2709939027</v>
      </c>
      <c r="G87" s="969">
        <f t="shared" si="6"/>
        <v>0.37794629352092385</v>
      </c>
      <c r="H87" s="1026" t="s">
        <v>1076</v>
      </c>
      <c r="I87" s="953"/>
      <c r="J87" s="953"/>
    </row>
    <row r="88" spans="1:10" ht="16.5" customHeight="1">
      <c r="A88" s="973" t="s">
        <v>128</v>
      </c>
      <c r="B88" s="901" t="s">
        <v>63</v>
      </c>
      <c r="C88" s="967" t="s">
        <v>1077</v>
      </c>
      <c r="D88" s="894">
        <v>30258000</v>
      </c>
      <c r="E88" s="894">
        <f t="shared" ref="E88:E93" si="7">D88</f>
        <v>30258000</v>
      </c>
      <c r="F88" s="974">
        <f t="shared" si="5"/>
        <v>0</v>
      </c>
      <c r="G88" s="969">
        <f t="shared" si="6"/>
        <v>1</v>
      </c>
      <c r="H88" s="1027"/>
      <c r="I88" s="953"/>
      <c r="J88" s="953"/>
    </row>
    <row r="89" spans="1:10" ht="16.5" customHeight="1">
      <c r="A89" s="973" t="s">
        <v>128</v>
      </c>
      <c r="B89" s="901" t="s">
        <v>590</v>
      </c>
      <c r="C89" s="967" t="s">
        <v>1078</v>
      </c>
      <c r="D89" s="894">
        <v>49708170</v>
      </c>
      <c r="E89" s="894">
        <f t="shared" si="7"/>
        <v>49708170</v>
      </c>
      <c r="F89" s="974">
        <f t="shared" si="5"/>
        <v>0</v>
      </c>
      <c r="G89" s="969">
        <f t="shared" si="6"/>
        <v>1</v>
      </c>
      <c r="H89" s="1027"/>
      <c r="I89" s="953"/>
      <c r="J89" s="953"/>
    </row>
    <row r="90" spans="1:10" ht="16.5" customHeight="1">
      <c r="A90" s="973" t="s">
        <v>128</v>
      </c>
      <c r="B90" s="901" t="s">
        <v>1035</v>
      </c>
      <c r="C90" s="967" t="s">
        <v>1079</v>
      </c>
      <c r="D90" s="894">
        <v>46482000</v>
      </c>
      <c r="E90" s="894">
        <f t="shared" si="7"/>
        <v>46482000</v>
      </c>
      <c r="F90" s="974">
        <f t="shared" si="5"/>
        <v>0</v>
      </c>
      <c r="G90" s="969">
        <f t="shared" si="6"/>
        <v>1</v>
      </c>
      <c r="H90" s="1027"/>
      <c r="I90" s="953"/>
      <c r="J90" s="953"/>
    </row>
    <row r="91" spans="1:10" ht="16.5" customHeight="1">
      <c r="A91" s="973" t="s">
        <v>128</v>
      </c>
      <c r="B91" s="901" t="s">
        <v>101</v>
      </c>
      <c r="C91" s="967" t="s">
        <v>1080</v>
      </c>
      <c r="D91" s="894">
        <v>27938000</v>
      </c>
      <c r="E91" s="894">
        <f t="shared" si="7"/>
        <v>27938000</v>
      </c>
      <c r="F91" s="974">
        <f t="shared" si="5"/>
        <v>0</v>
      </c>
      <c r="G91" s="969">
        <f t="shared" si="6"/>
        <v>1</v>
      </c>
      <c r="H91" s="1027"/>
      <c r="I91" s="953"/>
      <c r="J91" s="953"/>
    </row>
    <row r="92" spans="1:10" ht="16.5" customHeight="1">
      <c r="A92" s="973" t="s">
        <v>128</v>
      </c>
      <c r="B92" s="901" t="s">
        <v>566</v>
      </c>
      <c r="C92" s="967" t="s">
        <v>1020</v>
      </c>
      <c r="D92" s="894">
        <v>530975846</v>
      </c>
      <c r="E92" s="894">
        <f>530975846</f>
        <v>530975846</v>
      </c>
      <c r="F92" s="974">
        <f t="shared" si="5"/>
        <v>0</v>
      </c>
      <c r="G92" s="969">
        <f t="shared" si="6"/>
        <v>1</v>
      </c>
      <c r="H92" s="1027"/>
      <c r="I92" s="953"/>
      <c r="J92" s="953"/>
    </row>
    <row r="93" spans="1:10" ht="16.5" customHeight="1">
      <c r="A93" s="926" t="s">
        <v>1019</v>
      </c>
      <c r="B93" s="901" t="s">
        <v>99</v>
      </c>
      <c r="C93" s="1019" t="s">
        <v>1081</v>
      </c>
      <c r="D93" s="894">
        <v>48634000</v>
      </c>
      <c r="E93" s="894">
        <f t="shared" si="7"/>
        <v>48634000</v>
      </c>
      <c r="F93" s="974">
        <f t="shared" si="5"/>
        <v>0</v>
      </c>
      <c r="G93" s="969">
        <f t="shared" si="6"/>
        <v>1</v>
      </c>
      <c r="H93" s="1027"/>
      <c r="I93" s="953"/>
      <c r="J93" s="953"/>
    </row>
    <row r="94" spans="1:10" s="960" customFormat="1" ht="16.5" customHeight="1">
      <c r="A94" s="1028" t="s">
        <v>867</v>
      </c>
      <c r="B94" s="1029" t="s">
        <v>714</v>
      </c>
      <c r="C94" s="1030"/>
      <c r="D94" s="1031">
        <f>D95</f>
        <v>77038732736</v>
      </c>
      <c r="E94" s="1031">
        <f>E95</f>
        <v>77038732736</v>
      </c>
      <c r="F94" s="1031">
        <f>F95</f>
        <v>0</v>
      </c>
      <c r="G94" s="1032">
        <f t="shared" si="6"/>
        <v>1</v>
      </c>
      <c r="H94" s="1033"/>
      <c r="I94" s="953"/>
      <c r="J94" s="959"/>
    </row>
    <row r="95" spans="1:10" s="960" customFormat="1" ht="16.5" customHeight="1">
      <c r="A95" s="954">
        <v>1</v>
      </c>
      <c r="B95" s="990" t="s">
        <v>1082</v>
      </c>
      <c r="C95" s="956"/>
      <c r="D95" s="957">
        <f>D96+D99</f>
        <v>77038732736</v>
      </c>
      <c r="E95" s="957">
        <f>E96+E99</f>
        <v>77038732736</v>
      </c>
      <c r="F95" s="957">
        <f>F96+F99</f>
        <v>0</v>
      </c>
      <c r="G95" s="958">
        <f t="shared" si="6"/>
        <v>1</v>
      </c>
      <c r="H95" s="885"/>
      <c r="I95" s="953"/>
      <c r="J95" s="953"/>
    </row>
    <row r="96" spans="1:10" s="965" customFormat="1" ht="16.5" customHeight="1">
      <c r="A96" s="961" t="s">
        <v>130</v>
      </c>
      <c r="B96" s="977" t="s">
        <v>542</v>
      </c>
      <c r="C96" s="956"/>
      <c r="D96" s="956">
        <f>D97+D98</f>
        <v>72381306736</v>
      </c>
      <c r="E96" s="956">
        <f>E97+E98</f>
        <v>72381306736</v>
      </c>
      <c r="F96" s="956">
        <f>F97+F98</f>
        <v>0</v>
      </c>
      <c r="G96" s="958">
        <f t="shared" si="6"/>
        <v>1</v>
      </c>
      <c r="H96" s="963"/>
      <c r="I96" s="953"/>
      <c r="J96" s="993"/>
    </row>
    <row r="97" spans="1:10" s="972" customFormat="1" ht="16.5" customHeight="1">
      <c r="A97" s="973" t="s">
        <v>1019</v>
      </c>
      <c r="B97" s="994" t="s">
        <v>49</v>
      </c>
      <c r="C97" s="995" t="s">
        <v>505</v>
      </c>
      <c r="D97" s="996">
        <v>70800583331</v>
      </c>
      <c r="E97" s="996">
        <f>D97</f>
        <v>70800583331</v>
      </c>
      <c r="F97" s="974">
        <f>D97-E97</f>
        <v>0</v>
      </c>
      <c r="G97" s="969">
        <f t="shared" si="6"/>
        <v>1</v>
      </c>
      <c r="H97" s="896"/>
      <c r="I97" s="953"/>
      <c r="J97" s="971"/>
    </row>
    <row r="98" spans="1:10" s="972" customFormat="1" ht="16.5" customHeight="1">
      <c r="A98" s="973" t="s">
        <v>1019</v>
      </c>
      <c r="B98" s="994" t="s">
        <v>1083</v>
      </c>
      <c r="C98" s="996"/>
      <c r="D98" s="996">
        <v>1580723405</v>
      </c>
      <c r="E98" s="996">
        <f>D98</f>
        <v>1580723405</v>
      </c>
      <c r="F98" s="974">
        <f>D98-E98</f>
        <v>0</v>
      </c>
      <c r="G98" s="969">
        <f t="shared" si="6"/>
        <v>1</v>
      </c>
      <c r="H98" s="896"/>
      <c r="I98" s="953"/>
      <c r="J98" s="971"/>
    </row>
    <row r="99" spans="1:10" s="965" customFormat="1" ht="16.5" customHeight="1">
      <c r="A99" s="961" t="s">
        <v>131</v>
      </c>
      <c r="B99" s="977" t="s">
        <v>545</v>
      </c>
      <c r="C99" s="1034" t="s">
        <v>1084</v>
      </c>
      <c r="D99" s="956">
        <f>D100+D101</f>
        <v>4657426000</v>
      </c>
      <c r="E99" s="956">
        <f>E100+E101</f>
        <v>4657426000</v>
      </c>
      <c r="F99" s="956">
        <f>F100+F101</f>
        <v>0</v>
      </c>
      <c r="G99" s="958">
        <f t="shared" si="6"/>
        <v>1</v>
      </c>
      <c r="H99" s="963"/>
      <c r="I99" s="953"/>
      <c r="J99" s="993"/>
    </row>
    <row r="100" spans="1:10" s="965" customFormat="1" ht="16.5" customHeight="1">
      <c r="A100" s="926" t="s">
        <v>128</v>
      </c>
      <c r="B100" s="901" t="s">
        <v>99</v>
      </c>
      <c r="C100" s="956"/>
      <c r="D100" s="996">
        <v>4147700000</v>
      </c>
      <c r="E100" s="996">
        <f>D100</f>
        <v>4147700000</v>
      </c>
      <c r="F100" s="974">
        <f>D100-E100</f>
        <v>0</v>
      </c>
      <c r="G100" s="969">
        <f t="shared" si="6"/>
        <v>1</v>
      </c>
      <c r="H100" s="963"/>
      <c r="I100" s="953"/>
      <c r="J100" s="993"/>
    </row>
    <row r="101" spans="1:10" s="972" customFormat="1" ht="16.5" customHeight="1">
      <c r="A101" s="928" t="s">
        <v>128</v>
      </c>
      <c r="B101" s="910" t="s">
        <v>566</v>
      </c>
      <c r="C101" s="1035"/>
      <c r="D101" s="912">
        <v>509726000</v>
      </c>
      <c r="E101" s="912">
        <f>D101</f>
        <v>509726000</v>
      </c>
      <c r="F101" s="1018">
        <f>D101-E101</f>
        <v>0</v>
      </c>
      <c r="G101" s="1036">
        <f>+E101/D101</f>
        <v>1</v>
      </c>
      <c r="H101" s="1037"/>
      <c r="I101" s="953"/>
      <c r="J101" s="971"/>
    </row>
    <row r="102" spans="1:10" hidden="1">
      <c r="D102" s="939">
        <f>D103-D6</f>
        <v>-44272180</v>
      </c>
      <c r="E102" s="939">
        <f>E103-E6</f>
        <v>-5551661609</v>
      </c>
    </row>
    <row r="103" spans="1:10" s="1046" customFormat="1" hidden="1">
      <c r="A103" s="1041"/>
      <c r="B103" s="1113" t="s">
        <v>1085</v>
      </c>
      <c r="C103" s="1113"/>
      <c r="D103" s="1042">
        <v>194634015546</v>
      </c>
      <c r="E103" s="1043">
        <f>169098658782+4195015400+8728570108</f>
        <v>182022244290</v>
      </c>
      <c r="F103" s="1043"/>
      <c r="G103" s="1044"/>
      <c r="H103" s="1045"/>
    </row>
    <row r="104" spans="1:10" hidden="1"/>
    <row r="105" spans="1:10" ht="15.75" hidden="1">
      <c r="E105" s="939" t="s">
        <v>1086</v>
      </c>
      <c r="F105" s="1047">
        <v>11442787475</v>
      </c>
      <c r="G105" s="1048"/>
      <c r="H105" s="1049">
        <f>F105-F6</f>
        <v>4338405648</v>
      </c>
    </row>
    <row r="106" spans="1:10" hidden="1">
      <c r="H106" s="1040" t="s">
        <v>1087</v>
      </c>
    </row>
    <row r="107" spans="1:10" hidden="1">
      <c r="H107" s="1050">
        <v>65486772</v>
      </c>
      <c r="I107" s="1051"/>
    </row>
    <row r="108" spans="1:10" hidden="1">
      <c r="H108" s="1049"/>
    </row>
    <row r="109" spans="1:10" hidden="1"/>
  </sheetData>
  <mergeCells count="9">
    <mergeCell ref="K60:K68"/>
    <mergeCell ref="B75:C75"/>
    <mergeCell ref="B103:C103"/>
    <mergeCell ref="F1:H1"/>
    <mergeCell ref="A2:H2"/>
    <mergeCell ref="A3:H3"/>
    <mergeCell ref="F4:H4"/>
    <mergeCell ref="A6:C6"/>
    <mergeCell ref="H60:H68"/>
  </mergeCells>
  <printOptions horizontalCentered="1"/>
  <pageMargins left="0.25" right="0.25" top="0.2" bottom="0.2" header="0.28999999999999998" footer="0.16"/>
  <pageSetup paperSize="9" scale="80" orientation="landscape" r:id="rId1"/>
  <headerFooter alignWithMargins="0">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PL 01-2018</vt:lpstr>
      <vt:lpstr>02-2018</vt:lpstr>
      <vt:lpstr>PL 01-2017</vt:lpstr>
      <vt:lpstr>02-2017</vt:lpstr>
      <vt:lpstr>PL 01-2016</vt:lpstr>
      <vt:lpstr>PL 01-2015</vt:lpstr>
      <vt:lpstr>PL 01-2013</vt:lpstr>
      <vt:lpstr>PL 01-2009</vt:lpstr>
      <vt:lpstr>'02-2018'!Print_Area</vt:lpstr>
      <vt:lpstr>'PL 01-2018'!Print_Area</vt:lpstr>
      <vt:lpstr>'02-2017'!Print_Titles</vt:lpstr>
      <vt:lpstr>'02-2018'!Print_Titles</vt:lpstr>
      <vt:lpstr>'PL 01-2009'!Print_Titles</vt:lpstr>
      <vt:lpstr>'PL 01-2013'!Print_Titles</vt:lpstr>
      <vt:lpstr>'PL 01-2015'!Print_Titles</vt:lpstr>
      <vt:lpstr>'PL 01-2016'!Print_Titles</vt:lpstr>
      <vt:lpstr>'PL 01-2017'!Print_Titles</vt:lpstr>
      <vt:lpstr>'PL 01-2018'!Print_Titles</vt:lpstr>
    </vt:vector>
  </TitlesOfParts>
  <Company>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NguyenThiNga</cp:lastModifiedBy>
  <cp:lastPrinted>2021-07-05T01:17:47Z</cp:lastPrinted>
  <dcterms:created xsi:type="dcterms:W3CDTF">2019-11-12T07:19:00Z</dcterms:created>
  <dcterms:modified xsi:type="dcterms:W3CDTF">2021-08-12T03:19:36Z</dcterms:modified>
</cp:coreProperties>
</file>